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frey\Documents\git\conmar-mka\Results\Torsten\Paper\Supplements\"/>
    </mc:Choice>
  </mc:AlternateContent>
  <xr:revisionPtr revIDLastSave="0" documentId="13_ncr:1_{8F21A0D4-2472-4718-A6CD-E68EA9A7D8EF}" xr6:coauthVersionLast="36" xr6:coauthVersionMax="36" xr10:uidLastSave="{00000000-0000-0000-0000-000000000000}"/>
  <bookViews>
    <workbookView xWindow="0" yWindow="0" windowWidth="23040" windowHeight="8652" xr2:uid="{CDFAFEF2-75F7-4A81-AA70-339ED7EC6C53}"/>
  </bookViews>
  <sheets>
    <sheet name="1. Dataset B" sheetId="10" r:id="rId1"/>
    <sheet name="2. Expert 1" sheetId="1" r:id="rId2"/>
    <sheet name="3. Expert 2" sheetId="2" r:id="rId3"/>
    <sheet name="4. Expert 3" sheetId="3" r:id="rId4"/>
    <sheet name="5. Expert 4" sheetId="4" r:id="rId5"/>
    <sheet name="6. Distributions" sheetId="7" r:id="rId6"/>
    <sheet name="7. Spearman correlation" sheetId="14" r:id="rId7"/>
    <sheet name="8. Regression parameters" sheetId="13" r:id="rId8"/>
  </sheets>
  <definedNames>
    <definedName name="_xlnm._FilterDatabase" localSheetId="0" hidden="1">'1. Dataset B'!$B$1:$T$40</definedName>
    <definedName name="_xlnm._FilterDatabase" localSheetId="1" hidden="1">'2. Expert 1'!$B$2:$J$41</definedName>
    <definedName name="_xlnm._FilterDatabase" localSheetId="2" hidden="1">'3. Expert 2'!$B$2:$J$41</definedName>
    <definedName name="_xlnm._FilterDatabase" localSheetId="3" hidden="1">'4. Expert 3'!$B$2:$J$41</definedName>
    <definedName name="_xlnm._FilterDatabase" localSheetId="4" hidden="1">'5. Expert 4'!$B$2:$G$41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4" l="1"/>
  <c r="I32" i="14"/>
  <c r="I22" i="14"/>
  <c r="I21" i="14"/>
  <c r="H33" i="14"/>
  <c r="H32" i="14"/>
  <c r="H31" i="14"/>
  <c r="G33" i="14"/>
  <c r="G32" i="14"/>
  <c r="G31" i="14"/>
  <c r="G30" i="14"/>
  <c r="E33" i="14"/>
  <c r="E32" i="14"/>
  <c r="E31" i="14"/>
  <c r="E30" i="14"/>
  <c r="E29" i="14"/>
  <c r="E28" i="14"/>
  <c r="D33" i="14"/>
  <c r="D32" i="14"/>
  <c r="D31" i="14"/>
  <c r="D30" i="14"/>
  <c r="D29" i="14"/>
  <c r="D28" i="14"/>
  <c r="D27" i="14"/>
  <c r="J33" i="14"/>
  <c r="J22" i="14"/>
  <c r="H22" i="14"/>
  <c r="H21" i="14"/>
  <c r="H20" i="14"/>
  <c r="G22" i="14"/>
  <c r="G21" i="14"/>
  <c r="G20" i="14"/>
  <c r="G19" i="14"/>
  <c r="F22" i="14"/>
  <c r="F21" i="14"/>
  <c r="F20" i="14"/>
  <c r="F19" i="14"/>
  <c r="F18" i="14"/>
  <c r="E22" i="14"/>
  <c r="E21" i="14"/>
  <c r="E20" i="14"/>
  <c r="E19" i="14"/>
  <c r="E18" i="14"/>
  <c r="E17" i="14"/>
  <c r="D22" i="14"/>
  <c r="D21" i="14"/>
  <c r="D20" i="14"/>
  <c r="D19" i="14"/>
  <c r="D18" i="14"/>
  <c r="D17" i="14"/>
  <c r="D16" i="14"/>
  <c r="H87" i="10"/>
  <c r="H69" i="10"/>
  <c r="U56" i="10"/>
  <c r="U67" i="10" l="1"/>
  <c r="U66" i="10"/>
  <c r="U63" i="10"/>
  <c r="U62" i="10"/>
  <c r="U61" i="10"/>
  <c r="U60" i="10"/>
  <c r="U59" i="10"/>
  <c r="U57" i="10"/>
  <c r="U58" i="10" s="1"/>
  <c r="U65" i="10" l="1"/>
  <c r="U64" i="10"/>
  <c r="U43" i="10"/>
  <c r="U44" i="10"/>
  <c r="U46" i="10"/>
  <c r="U47" i="10"/>
  <c r="U48" i="10"/>
  <c r="U49" i="10"/>
  <c r="U50" i="10"/>
  <c r="U51" i="10"/>
  <c r="U52" i="10"/>
  <c r="U72" i="10"/>
  <c r="U75" i="10"/>
  <c r="U76" i="10"/>
  <c r="U77" i="10" s="1"/>
  <c r="U78" i="10"/>
  <c r="U79" i="10"/>
  <c r="U80" i="10"/>
  <c r="U81" i="10"/>
  <c r="U82" i="10"/>
  <c r="U85" i="10"/>
  <c r="U86" i="10"/>
  <c r="U45" i="10" l="1"/>
  <c r="U83" i="10"/>
  <c r="U84" i="10"/>
  <c r="E34" i="10" l="1"/>
  <c r="G34" i="10" s="1"/>
  <c r="V17" i="10"/>
  <c r="C34" i="10" l="1"/>
  <c r="I34" i="10"/>
  <c r="K34" i="10"/>
  <c r="M34" i="10"/>
  <c r="O34" i="10"/>
  <c r="Q34" i="10"/>
  <c r="S34" i="10"/>
  <c r="V34" i="10"/>
  <c r="H34" i="10" l="1"/>
  <c r="W34" i="10"/>
  <c r="G14" i="3" l="1"/>
  <c r="G29" i="3" l="1"/>
  <c r="G32" i="3" l="1"/>
  <c r="G31" i="3" l="1"/>
  <c r="D13" i="3" l="1"/>
  <c r="J21" i="2" l="1"/>
  <c r="I21" i="2"/>
  <c r="F21" i="2"/>
  <c r="E21" i="2"/>
  <c r="C21" i="2"/>
  <c r="K18" i="2"/>
  <c r="J18" i="2"/>
  <c r="I18" i="2"/>
  <c r="F18" i="2"/>
  <c r="E18" i="2"/>
  <c r="C18" i="2"/>
  <c r="J21" i="3" l="1"/>
  <c r="I21" i="3"/>
  <c r="F21" i="3"/>
  <c r="E21" i="3"/>
  <c r="C21" i="3"/>
  <c r="J22" i="3"/>
  <c r="I22" i="3"/>
  <c r="F22" i="3"/>
  <c r="E22" i="3"/>
  <c r="C22" i="3"/>
  <c r="V3" i="10" l="1"/>
  <c r="V4" i="10"/>
  <c r="V5" i="10"/>
  <c r="V6" i="10"/>
  <c r="V7" i="10"/>
  <c r="V8" i="10"/>
  <c r="V9" i="10"/>
  <c r="V10" i="10"/>
  <c r="V11" i="10"/>
  <c r="V13" i="10"/>
  <c r="V14" i="10"/>
  <c r="V15" i="10"/>
  <c r="V16" i="10"/>
  <c r="V18" i="10"/>
  <c r="V19" i="10"/>
  <c r="V20" i="10"/>
  <c r="V21" i="10"/>
  <c r="V22" i="10"/>
  <c r="V23" i="10"/>
  <c r="V24" i="10"/>
  <c r="V25" i="10"/>
  <c r="V26" i="10"/>
  <c r="V27" i="10"/>
  <c r="V28" i="10"/>
  <c r="V29" i="10"/>
  <c r="V30" i="10"/>
  <c r="V31" i="10"/>
  <c r="V32" i="10"/>
  <c r="V33" i="10"/>
  <c r="V35" i="10"/>
  <c r="V36" i="10"/>
  <c r="V37" i="10"/>
  <c r="V38" i="10"/>
  <c r="V39" i="10"/>
  <c r="V40" i="10"/>
  <c r="V2" i="10"/>
  <c r="V53" i="10" l="1"/>
  <c r="J11" i="14"/>
  <c r="V92" i="10"/>
  <c r="V90" i="10"/>
  <c r="V91" i="10"/>
  <c r="V93" i="10"/>
  <c r="K16" i="1"/>
  <c r="V95" i="10" l="1"/>
  <c r="V94" i="10"/>
  <c r="V96" i="10" s="1"/>
  <c r="V97" i="10" s="1"/>
  <c r="K14" i="2"/>
  <c r="K14" i="1"/>
  <c r="K3" i="1" l="1"/>
  <c r="K21" i="3" l="1"/>
  <c r="H21" i="3"/>
  <c r="H21" i="2"/>
  <c r="K21" i="1"/>
  <c r="H21" i="1"/>
  <c r="K21" i="2" l="1"/>
  <c r="K18" i="1"/>
  <c r="H18" i="1"/>
  <c r="H16" i="1" l="1"/>
  <c r="H14" i="2" l="1"/>
  <c r="H14" i="1"/>
  <c r="H3" i="1" l="1"/>
  <c r="O40" i="10" l="1"/>
  <c r="O39" i="10"/>
  <c r="O38" i="10"/>
  <c r="O37" i="10"/>
  <c r="O36" i="10"/>
  <c r="O35" i="10"/>
  <c r="O33" i="10"/>
  <c r="O32" i="10"/>
  <c r="O31" i="10"/>
  <c r="O30" i="10"/>
  <c r="O29" i="10"/>
  <c r="O28" i="10"/>
  <c r="O27" i="10"/>
  <c r="O26" i="10"/>
  <c r="O25" i="10"/>
  <c r="O24" i="10"/>
  <c r="O23" i="10"/>
  <c r="O22" i="10"/>
  <c r="O21" i="10"/>
  <c r="O20" i="10"/>
  <c r="O19" i="10"/>
  <c r="O18" i="10"/>
  <c r="O17" i="10"/>
  <c r="O16" i="10"/>
  <c r="O15" i="10"/>
  <c r="O14" i="10"/>
  <c r="O13" i="10"/>
  <c r="O12" i="10"/>
  <c r="O72" i="10" s="1"/>
  <c r="O11" i="10"/>
  <c r="O10" i="10"/>
  <c r="O9" i="10"/>
  <c r="O8" i="10"/>
  <c r="O7" i="10"/>
  <c r="O6" i="10"/>
  <c r="O5" i="10"/>
  <c r="O4" i="10"/>
  <c r="O3" i="10"/>
  <c r="O2" i="10"/>
  <c r="O79" i="10" l="1"/>
  <c r="O80" i="10"/>
  <c r="O63" i="10"/>
  <c r="O62" i="10"/>
  <c r="O82" i="10"/>
  <c r="O86" i="10"/>
  <c r="O76" i="10"/>
  <c r="O77" i="10" s="1"/>
  <c r="O85" i="10"/>
  <c r="O75" i="10"/>
  <c r="O78" i="10"/>
  <c r="O81" i="10"/>
  <c r="O49" i="10"/>
  <c r="O56" i="10"/>
  <c r="O43" i="10"/>
  <c r="O67" i="10"/>
  <c r="O46" i="10"/>
  <c r="O50" i="10"/>
  <c r="O57" i="10"/>
  <c r="O58" i="10" s="1"/>
  <c r="O59" i="10"/>
  <c r="O44" i="10"/>
  <c r="O47" i="10"/>
  <c r="O51" i="10"/>
  <c r="O60" i="10"/>
  <c r="O48" i="10"/>
  <c r="O52" i="10"/>
  <c r="O61" i="10"/>
  <c r="O66" i="10"/>
  <c r="P32" i="10"/>
  <c r="P34" i="10"/>
  <c r="E44" i="7"/>
  <c r="E49" i="7"/>
  <c r="P3" i="10"/>
  <c r="P40" i="10"/>
  <c r="P23" i="10"/>
  <c r="P29" i="10"/>
  <c r="P31" i="10"/>
  <c r="P33" i="10"/>
  <c r="P37" i="10"/>
  <c r="P39" i="10"/>
  <c r="P35" i="10"/>
  <c r="P36" i="10"/>
  <c r="P38" i="10"/>
  <c r="P30" i="10"/>
  <c r="P28" i="10"/>
  <c r="P25" i="10"/>
  <c r="P27" i="10"/>
  <c r="P24" i="10"/>
  <c r="P26" i="10"/>
  <c r="P18" i="10"/>
  <c r="P17" i="10"/>
  <c r="P19" i="10"/>
  <c r="P22" i="10"/>
  <c r="P21" i="10"/>
  <c r="P20" i="10"/>
  <c r="P5" i="10"/>
  <c r="P7" i="10"/>
  <c r="P8" i="10"/>
  <c r="P13" i="10"/>
  <c r="P15" i="10"/>
  <c r="P16" i="10"/>
  <c r="P11" i="10"/>
  <c r="P14" i="10"/>
  <c r="P9" i="10"/>
  <c r="P10" i="10"/>
  <c r="P6" i="10"/>
  <c r="P4" i="10"/>
  <c r="P2" i="10"/>
  <c r="P53" i="10" l="1"/>
  <c r="H9" i="14"/>
  <c r="H11" i="14"/>
  <c r="O83" i="10"/>
  <c r="O84" i="10"/>
  <c r="P92" i="10"/>
  <c r="P90" i="10"/>
  <c r="O45" i="10"/>
  <c r="P93" i="10"/>
  <c r="P91" i="10"/>
  <c r="O64" i="10"/>
  <c r="O65" i="10"/>
  <c r="E45" i="7"/>
  <c r="P95" i="10" l="1"/>
  <c r="P96" i="10" s="1"/>
  <c r="P97" i="10" s="1"/>
  <c r="P94" i="10"/>
  <c r="E46" i="7"/>
  <c r="M12" i="10"/>
  <c r="M72" i="10" s="1"/>
  <c r="E47" i="7" l="1"/>
  <c r="E48" i="7" l="1"/>
  <c r="F48" i="7" s="1"/>
  <c r="F45" i="7" l="1"/>
  <c r="F47" i="7"/>
  <c r="F49" i="7"/>
  <c r="F44" i="7"/>
  <c r="F46" i="7"/>
  <c r="J3" i="2"/>
  <c r="I3" i="2"/>
  <c r="F3" i="2"/>
  <c r="E3" i="2"/>
  <c r="C3" i="2"/>
  <c r="J21" i="1"/>
  <c r="I21" i="1"/>
  <c r="F21" i="1"/>
  <c r="E21" i="1"/>
  <c r="C21" i="1"/>
  <c r="J18" i="1"/>
  <c r="I18" i="1"/>
  <c r="F18" i="1"/>
  <c r="E18" i="1"/>
  <c r="C18" i="1"/>
  <c r="J14" i="1"/>
  <c r="I14" i="1"/>
  <c r="F14" i="1"/>
  <c r="E14" i="1"/>
  <c r="C14" i="1"/>
  <c r="J3" i="1"/>
  <c r="I3" i="1"/>
  <c r="F3" i="1"/>
  <c r="E3" i="1"/>
  <c r="C3" i="1"/>
  <c r="G18" i="1" l="1"/>
  <c r="D18" i="1"/>
  <c r="M3" i="10" l="1"/>
  <c r="M4" i="10"/>
  <c r="M5" i="10"/>
  <c r="M6" i="10"/>
  <c r="M7" i="10"/>
  <c r="M8" i="10"/>
  <c r="M9" i="10"/>
  <c r="M10" i="10"/>
  <c r="M11" i="10"/>
  <c r="M14" i="10"/>
  <c r="M16" i="10"/>
  <c r="M17" i="10"/>
  <c r="M18" i="10"/>
  <c r="M19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5" i="10"/>
  <c r="M36" i="10"/>
  <c r="M37" i="10"/>
  <c r="M38" i="10"/>
  <c r="M39" i="10"/>
  <c r="M40" i="10"/>
  <c r="G21" i="3" l="1"/>
  <c r="G3" i="1" l="1"/>
  <c r="E15" i="10" l="1"/>
  <c r="G15" i="10" s="1"/>
  <c r="D21" i="1"/>
  <c r="H15" i="10" l="1"/>
  <c r="W15" i="10"/>
  <c r="D21" i="3"/>
  <c r="G21" i="2"/>
  <c r="D21" i="2"/>
  <c r="G21" i="1"/>
  <c r="M20" i="10" l="1"/>
  <c r="D18" i="2"/>
  <c r="E17" i="10" s="1"/>
  <c r="G17" i="10" s="1"/>
  <c r="G16" i="1" l="1"/>
  <c r="M15" i="10" l="1"/>
  <c r="G14" i="2"/>
  <c r="D14" i="2"/>
  <c r="G14" i="1"/>
  <c r="D14" i="1"/>
  <c r="M13" i="10" l="1"/>
  <c r="M2" i="10"/>
  <c r="M80" i="10" l="1"/>
  <c r="M79" i="10"/>
  <c r="M62" i="10"/>
  <c r="M63" i="10"/>
  <c r="M76" i="10"/>
  <c r="M77" i="10" s="1"/>
  <c r="M85" i="10"/>
  <c r="M75" i="10"/>
  <c r="M78" i="10"/>
  <c r="M81" i="10"/>
  <c r="M82" i="10"/>
  <c r="M86" i="10"/>
  <c r="M43" i="10"/>
  <c r="M67" i="10"/>
  <c r="M46" i="10"/>
  <c r="M50" i="10"/>
  <c r="M57" i="10"/>
  <c r="M58" i="10" s="1"/>
  <c r="M59" i="10"/>
  <c r="M44" i="10"/>
  <c r="M47" i="10"/>
  <c r="M51" i="10"/>
  <c r="M60" i="10"/>
  <c r="M48" i="10"/>
  <c r="M52" i="10"/>
  <c r="M61" i="10"/>
  <c r="M66" i="10"/>
  <c r="M49" i="10"/>
  <c r="M56" i="10"/>
  <c r="N34" i="10"/>
  <c r="E40" i="7"/>
  <c r="E35" i="7"/>
  <c r="N2" i="10"/>
  <c r="N20" i="10"/>
  <c r="N17" i="10"/>
  <c r="N32" i="10"/>
  <c r="N13" i="10"/>
  <c r="N11" i="10"/>
  <c r="N8" i="10"/>
  <c r="N24" i="10"/>
  <c r="N22" i="10"/>
  <c r="N35" i="10"/>
  <c r="N23" i="10"/>
  <c r="N4" i="10"/>
  <c r="N36" i="10"/>
  <c r="N3" i="10"/>
  <c r="N33" i="10"/>
  <c r="N16" i="10"/>
  <c r="N21" i="10"/>
  <c r="N14" i="10"/>
  <c r="N37" i="10"/>
  <c r="N27" i="10"/>
  <c r="N15" i="10"/>
  <c r="N10" i="10"/>
  <c r="N28" i="10"/>
  <c r="N25" i="10"/>
  <c r="N40" i="10"/>
  <c r="N7" i="10"/>
  <c r="N30" i="10"/>
  <c r="N18" i="10"/>
  <c r="N31" i="10"/>
  <c r="N38" i="10"/>
  <c r="N5" i="10"/>
  <c r="N29" i="10"/>
  <c r="N19" i="10"/>
  <c r="N26" i="10"/>
  <c r="N39" i="10"/>
  <c r="N6" i="10"/>
  <c r="N9" i="10"/>
  <c r="D3" i="2"/>
  <c r="D3" i="1"/>
  <c r="N53" i="10" l="1"/>
  <c r="G11" i="14"/>
  <c r="G8" i="14"/>
  <c r="G9" i="14"/>
  <c r="N90" i="10"/>
  <c r="N92" i="10"/>
  <c r="M45" i="10"/>
  <c r="M84" i="10"/>
  <c r="M83" i="10"/>
  <c r="N93" i="10"/>
  <c r="N91" i="10"/>
  <c r="M64" i="10"/>
  <c r="M65" i="10"/>
  <c r="E36" i="7"/>
  <c r="E2" i="10"/>
  <c r="E4" i="10"/>
  <c r="G4" i="10" s="1"/>
  <c r="E5" i="10"/>
  <c r="G5" i="10" s="1"/>
  <c r="E6" i="10"/>
  <c r="G6" i="10" s="1"/>
  <c r="E7" i="10"/>
  <c r="G7" i="10" s="1"/>
  <c r="E8" i="10"/>
  <c r="G8" i="10" s="1"/>
  <c r="E9" i="10"/>
  <c r="G9" i="10" s="1"/>
  <c r="E10" i="10"/>
  <c r="G10" i="10" s="1"/>
  <c r="E11" i="10"/>
  <c r="G11" i="10" s="1"/>
  <c r="E12" i="10"/>
  <c r="E13" i="10"/>
  <c r="E14" i="10"/>
  <c r="G14" i="10" s="1"/>
  <c r="E16" i="10"/>
  <c r="G16" i="10" s="1"/>
  <c r="E18" i="10"/>
  <c r="G18" i="10" s="1"/>
  <c r="E19" i="10"/>
  <c r="G19" i="10" s="1"/>
  <c r="E20" i="10"/>
  <c r="G20" i="10" s="1"/>
  <c r="E21" i="10"/>
  <c r="G21" i="10" s="1"/>
  <c r="E22" i="10"/>
  <c r="G22" i="10" s="1"/>
  <c r="E23" i="10"/>
  <c r="G23" i="10" s="1"/>
  <c r="E24" i="10"/>
  <c r="G24" i="10" s="1"/>
  <c r="E25" i="10"/>
  <c r="G25" i="10" s="1"/>
  <c r="E26" i="10"/>
  <c r="G26" i="10" s="1"/>
  <c r="E27" i="10"/>
  <c r="G27" i="10" s="1"/>
  <c r="E28" i="10"/>
  <c r="G28" i="10" s="1"/>
  <c r="E29" i="10"/>
  <c r="G29" i="10" s="1"/>
  <c r="E30" i="10"/>
  <c r="G30" i="10" s="1"/>
  <c r="E31" i="10"/>
  <c r="G31" i="10" s="1"/>
  <c r="E32" i="10"/>
  <c r="G32" i="10" s="1"/>
  <c r="E33" i="10"/>
  <c r="G33" i="10" s="1"/>
  <c r="E35" i="10"/>
  <c r="G35" i="10" s="1"/>
  <c r="E36" i="10"/>
  <c r="G36" i="10" s="1"/>
  <c r="E37" i="10"/>
  <c r="G37" i="10" s="1"/>
  <c r="E38" i="10"/>
  <c r="G38" i="10" s="1"/>
  <c r="E39" i="10"/>
  <c r="G39" i="10" s="1"/>
  <c r="E40" i="10"/>
  <c r="G40" i="10" s="1"/>
  <c r="E3" i="10"/>
  <c r="G3" i="10" s="1"/>
  <c r="S40" i="10"/>
  <c r="Q40" i="10"/>
  <c r="K40" i="10"/>
  <c r="I40" i="10"/>
  <c r="C40" i="10"/>
  <c r="S39" i="10"/>
  <c r="Q39" i="10"/>
  <c r="K39" i="10"/>
  <c r="I39" i="10"/>
  <c r="C39" i="10"/>
  <c r="S38" i="10"/>
  <c r="Q38" i="10"/>
  <c r="K38" i="10"/>
  <c r="I38" i="10"/>
  <c r="C38" i="10"/>
  <c r="S37" i="10"/>
  <c r="Q37" i="10"/>
  <c r="K37" i="10"/>
  <c r="I37" i="10"/>
  <c r="C37" i="10"/>
  <c r="S36" i="10"/>
  <c r="Q36" i="10"/>
  <c r="K36" i="10"/>
  <c r="I36" i="10"/>
  <c r="C36" i="10"/>
  <c r="S35" i="10"/>
  <c r="Q35" i="10"/>
  <c r="K35" i="10"/>
  <c r="I35" i="10"/>
  <c r="C35" i="10"/>
  <c r="S33" i="10"/>
  <c r="Q33" i="10"/>
  <c r="K33" i="10"/>
  <c r="I33" i="10"/>
  <c r="C33" i="10"/>
  <c r="S32" i="10"/>
  <c r="Q32" i="10"/>
  <c r="K32" i="10"/>
  <c r="I32" i="10"/>
  <c r="C32" i="10"/>
  <c r="S31" i="10"/>
  <c r="Q31" i="10"/>
  <c r="K31" i="10"/>
  <c r="I31" i="10"/>
  <c r="C31" i="10"/>
  <c r="S30" i="10"/>
  <c r="Q30" i="10"/>
  <c r="K30" i="10"/>
  <c r="I30" i="10"/>
  <c r="C30" i="10"/>
  <c r="S29" i="10"/>
  <c r="Q29" i="10"/>
  <c r="K29" i="10"/>
  <c r="I29" i="10"/>
  <c r="C29" i="10"/>
  <c r="S28" i="10"/>
  <c r="Q28" i="10"/>
  <c r="K28" i="10"/>
  <c r="I28" i="10"/>
  <c r="C28" i="10"/>
  <c r="S27" i="10"/>
  <c r="Q27" i="10"/>
  <c r="K27" i="10"/>
  <c r="I27" i="10"/>
  <c r="C27" i="10"/>
  <c r="S26" i="10"/>
  <c r="Q26" i="10"/>
  <c r="K26" i="10"/>
  <c r="I26" i="10"/>
  <c r="C26" i="10"/>
  <c r="S25" i="10"/>
  <c r="Q25" i="10"/>
  <c r="K25" i="10"/>
  <c r="I25" i="10"/>
  <c r="C25" i="10"/>
  <c r="S24" i="10"/>
  <c r="Q24" i="10"/>
  <c r="K24" i="10"/>
  <c r="I24" i="10"/>
  <c r="C24" i="10"/>
  <c r="S23" i="10"/>
  <c r="Q23" i="10"/>
  <c r="K23" i="10"/>
  <c r="I23" i="10"/>
  <c r="C23" i="10"/>
  <c r="S22" i="10"/>
  <c r="Q22" i="10"/>
  <c r="K22" i="10"/>
  <c r="I22" i="10"/>
  <c r="C22" i="10"/>
  <c r="S21" i="10"/>
  <c r="Q21" i="10"/>
  <c r="K21" i="10"/>
  <c r="I21" i="10"/>
  <c r="C21" i="10"/>
  <c r="S20" i="10"/>
  <c r="Q20" i="10"/>
  <c r="K20" i="10"/>
  <c r="I20" i="10"/>
  <c r="C20" i="10"/>
  <c r="S19" i="10"/>
  <c r="Q19" i="10"/>
  <c r="K19" i="10"/>
  <c r="I19" i="10"/>
  <c r="C19" i="10"/>
  <c r="S18" i="10"/>
  <c r="Q18" i="10"/>
  <c r="K18" i="10"/>
  <c r="I18" i="10"/>
  <c r="C18" i="10"/>
  <c r="S17" i="10"/>
  <c r="Q17" i="10"/>
  <c r="K17" i="10"/>
  <c r="I17" i="10"/>
  <c r="C17" i="10"/>
  <c r="S16" i="10"/>
  <c r="Q16" i="10"/>
  <c r="K16" i="10"/>
  <c r="I16" i="10"/>
  <c r="C16" i="10"/>
  <c r="S15" i="10"/>
  <c r="Q15" i="10"/>
  <c r="K15" i="10"/>
  <c r="I15" i="10"/>
  <c r="C15" i="10"/>
  <c r="S14" i="10"/>
  <c r="Q14" i="10"/>
  <c r="K14" i="10"/>
  <c r="I14" i="10"/>
  <c r="C14" i="10"/>
  <c r="S13" i="10"/>
  <c r="Q13" i="10"/>
  <c r="K13" i="10"/>
  <c r="I13" i="10"/>
  <c r="C13" i="10"/>
  <c r="S12" i="10"/>
  <c r="S72" i="10" s="1"/>
  <c r="Q12" i="10"/>
  <c r="Q72" i="10" s="1"/>
  <c r="K12" i="10"/>
  <c r="I12" i="10"/>
  <c r="I72" i="10" s="1"/>
  <c r="C12" i="10"/>
  <c r="C72" i="10" s="1"/>
  <c r="S11" i="10"/>
  <c r="Q11" i="10"/>
  <c r="K11" i="10"/>
  <c r="I11" i="10"/>
  <c r="C11" i="10"/>
  <c r="S10" i="10"/>
  <c r="Q10" i="10"/>
  <c r="K10" i="10"/>
  <c r="I10" i="10"/>
  <c r="C10" i="10"/>
  <c r="S9" i="10"/>
  <c r="Q9" i="10"/>
  <c r="K9" i="10"/>
  <c r="I9" i="10"/>
  <c r="C9" i="10"/>
  <c r="S8" i="10"/>
  <c r="Q8" i="10"/>
  <c r="K8" i="10"/>
  <c r="I8" i="10"/>
  <c r="C8" i="10"/>
  <c r="S7" i="10"/>
  <c r="Q7" i="10"/>
  <c r="K7" i="10"/>
  <c r="I7" i="10"/>
  <c r="C7" i="10"/>
  <c r="S6" i="10"/>
  <c r="Q6" i="10"/>
  <c r="K6" i="10"/>
  <c r="I6" i="10"/>
  <c r="C6" i="10"/>
  <c r="S5" i="10"/>
  <c r="Q5" i="10"/>
  <c r="K5" i="10"/>
  <c r="I5" i="10"/>
  <c r="C5" i="10"/>
  <c r="S4" i="10"/>
  <c r="Q4" i="10"/>
  <c r="K4" i="10"/>
  <c r="I4" i="10"/>
  <c r="C4" i="10"/>
  <c r="S3" i="10"/>
  <c r="Q3" i="10"/>
  <c r="K3" i="10"/>
  <c r="I3" i="10"/>
  <c r="C3" i="10"/>
  <c r="S2" i="10"/>
  <c r="Q2" i="10"/>
  <c r="I2" i="10"/>
  <c r="C2" i="10"/>
  <c r="I80" i="10" l="1"/>
  <c r="I79" i="10"/>
  <c r="K80" i="10"/>
  <c r="K79" i="10"/>
  <c r="Q79" i="10"/>
  <c r="Q80" i="10"/>
  <c r="S80" i="10"/>
  <c r="S79" i="10"/>
  <c r="C80" i="10"/>
  <c r="C79" i="10"/>
  <c r="G2" i="10"/>
  <c r="C63" i="10"/>
  <c r="C62" i="10"/>
  <c r="Q63" i="10"/>
  <c r="Q62" i="10"/>
  <c r="S63" i="10"/>
  <c r="S62" i="10"/>
  <c r="I63" i="10"/>
  <c r="I62" i="10"/>
  <c r="K63" i="10"/>
  <c r="K62" i="10"/>
  <c r="G13" i="10"/>
  <c r="H13" i="10" s="1"/>
  <c r="E86" i="10"/>
  <c r="N94" i="10"/>
  <c r="H36" i="10"/>
  <c r="H37" i="10"/>
  <c r="H10" i="10"/>
  <c r="H32" i="10"/>
  <c r="H24" i="10"/>
  <c r="N95" i="10"/>
  <c r="N96" i="10" s="1"/>
  <c r="N97" i="10" s="1"/>
  <c r="H40" i="10"/>
  <c r="H31" i="10"/>
  <c r="H23" i="10"/>
  <c r="H5" i="10"/>
  <c r="H39" i="10"/>
  <c r="H22" i="10"/>
  <c r="H4" i="10"/>
  <c r="H38" i="10"/>
  <c r="H21" i="10"/>
  <c r="H11" i="10"/>
  <c r="K46" i="10"/>
  <c r="K50" i="10"/>
  <c r="K57" i="10"/>
  <c r="K58" i="10" s="1"/>
  <c r="K59" i="10"/>
  <c r="K44" i="10"/>
  <c r="K47" i="10"/>
  <c r="K51" i="10"/>
  <c r="K60" i="10"/>
  <c r="K48" i="10"/>
  <c r="K52" i="10"/>
  <c r="K61" i="10"/>
  <c r="K66" i="10"/>
  <c r="K49" i="10"/>
  <c r="K56" i="10"/>
  <c r="K43" i="10"/>
  <c r="K67" i="10"/>
  <c r="C85" i="10"/>
  <c r="C75" i="10"/>
  <c r="C78" i="10"/>
  <c r="C81" i="10"/>
  <c r="C82" i="10"/>
  <c r="C86" i="10"/>
  <c r="C76" i="10"/>
  <c r="C77" i="10" s="1"/>
  <c r="E85" i="10"/>
  <c r="E75" i="10"/>
  <c r="E78" i="10"/>
  <c r="E81" i="10"/>
  <c r="E79" i="10"/>
  <c r="E82" i="10"/>
  <c r="E76" i="10"/>
  <c r="E77" i="10" s="1"/>
  <c r="E80" i="10"/>
  <c r="I85" i="10"/>
  <c r="I75" i="10"/>
  <c r="I78" i="10"/>
  <c r="I81" i="10"/>
  <c r="I82" i="10"/>
  <c r="I86" i="10"/>
  <c r="I76" i="10"/>
  <c r="I77" i="10" s="1"/>
  <c r="E72" i="10"/>
  <c r="C48" i="10"/>
  <c r="C52" i="10"/>
  <c r="C61" i="10"/>
  <c r="C66" i="10"/>
  <c r="C49" i="10"/>
  <c r="C56" i="10"/>
  <c r="C43" i="10"/>
  <c r="C67" i="10"/>
  <c r="C46" i="10"/>
  <c r="C50" i="10"/>
  <c r="C57" i="10"/>
  <c r="C58" i="10" s="1"/>
  <c r="C59" i="10"/>
  <c r="C44" i="10"/>
  <c r="C47" i="10"/>
  <c r="C51" i="10"/>
  <c r="C60" i="10"/>
  <c r="K85" i="10"/>
  <c r="K75" i="10"/>
  <c r="K78" i="10"/>
  <c r="K81" i="10"/>
  <c r="K82" i="10"/>
  <c r="K86" i="10"/>
  <c r="K76" i="10"/>
  <c r="K77" i="10" s="1"/>
  <c r="E47" i="10"/>
  <c r="E51" i="10"/>
  <c r="E60" i="10"/>
  <c r="E48" i="10"/>
  <c r="E52" i="10"/>
  <c r="E61" i="10"/>
  <c r="E62" i="10"/>
  <c r="E66" i="10"/>
  <c r="E49" i="10"/>
  <c r="E56" i="10"/>
  <c r="E43" i="10"/>
  <c r="E67" i="10"/>
  <c r="E46" i="10"/>
  <c r="E50" i="10"/>
  <c r="E57" i="10"/>
  <c r="E58" i="10" s="1"/>
  <c r="E59" i="10"/>
  <c r="E63" i="10"/>
  <c r="E68" i="10"/>
  <c r="E44" i="10"/>
  <c r="Q75" i="10"/>
  <c r="Q78" i="10"/>
  <c r="Q81" i="10"/>
  <c r="Q82" i="10"/>
  <c r="Q86" i="10"/>
  <c r="Q76" i="10"/>
  <c r="Q77" i="10" s="1"/>
  <c r="Q85" i="10"/>
  <c r="Q66" i="10"/>
  <c r="Q49" i="10"/>
  <c r="Q56" i="10"/>
  <c r="Q43" i="10"/>
  <c r="Q67" i="10"/>
  <c r="Q46" i="10"/>
  <c r="Q50" i="10"/>
  <c r="Q57" i="10"/>
  <c r="Q58" i="10" s="1"/>
  <c r="Q59" i="10"/>
  <c r="Q44" i="10"/>
  <c r="Q47" i="10"/>
  <c r="Q51" i="10"/>
  <c r="Q60" i="10"/>
  <c r="Q48" i="10"/>
  <c r="Q52" i="10"/>
  <c r="Q61" i="10"/>
  <c r="S85" i="10"/>
  <c r="S75" i="10"/>
  <c r="S78" i="10"/>
  <c r="S82" i="10"/>
  <c r="S86" i="10"/>
  <c r="S76" i="10"/>
  <c r="S77" i="10" s="1"/>
  <c r="S48" i="10"/>
  <c r="S52" i="10"/>
  <c r="S61" i="10"/>
  <c r="S66" i="10"/>
  <c r="S49" i="10"/>
  <c r="S56" i="10"/>
  <c r="S43" i="10"/>
  <c r="S67" i="10"/>
  <c r="S46" i="10"/>
  <c r="S50" i="10"/>
  <c r="S57" i="10"/>
  <c r="S58" i="10" s="1"/>
  <c r="S59" i="10"/>
  <c r="S44" i="10"/>
  <c r="S47" i="10"/>
  <c r="S51" i="10"/>
  <c r="S60" i="10"/>
  <c r="K72" i="10"/>
  <c r="I44" i="10"/>
  <c r="I47" i="10"/>
  <c r="I51" i="10"/>
  <c r="I60" i="10"/>
  <c r="I48" i="10"/>
  <c r="I52" i="10"/>
  <c r="I61" i="10"/>
  <c r="I66" i="10"/>
  <c r="I49" i="10"/>
  <c r="I56" i="10"/>
  <c r="I43" i="10"/>
  <c r="I67" i="10"/>
  <c r="I46" i="10"/>
  <c r="I50" i="10"/>
  <c r="I57" i="10"/>
  <c r="I58" i="10" s="1"/>
  <c r="I59" i="10"/>
  <c r="E21" i="7"/>
  <c r="E22" i="7" s="1"/>
  <c r="E23" i="7" s="1"/>
  <c r="E24" i="7" s="1"/>
  <c r="E28" i="7"/>
  <c r="E29" i="7" s="1"/>
  <c r="E30" i="7" s="1"/>
  <c r="E31" i="7" s="1"/>
  <c r="E53" i="7"/>
  <c r="E54" i="7" s="1"/>
  <c r="E55" i="7" s="1"/>
  <c r="E56" i="7" s="1"/>
  <c r="E57" i="7" s="1"/>
  <c r="E58" i="7" s="1"/>
  <c r="E62" i="7"/>
  <c r="E63" i="7" s="1"/>
  <c r="E64" i="7" s="1"/>
  <c r="E65" i="7" s="1"/>
  <c r="E66" i="7" s="1"/>
  <c r="H35" i="10"/>
  <c r="H26" i="10"/>
  <c r="H18" i="10"/>
  <c r="H33" i="10"/>
  <c r="H25" i="10"/>
  <c r="H17" i="10"/>
  <c r="H8" i="10"/>
  <c r="H7" i="10"/>
  <c r="H6" i="10"/>
  <c r="H29" i="10"/>
  <c r="H28" i="10"/>
  <c r="H2" i="10"/>
  <c r="E17" i="7"/>
  <c r="E12" i="7"/>
  <c r="H19" i="10"/>
  <c r="E37" i="7"/>
  <c r="L34" i="10"/>
  <c r="J34" i="10"/>
  <c r="R34" i="10"/>
  <c r="T34" i="10"/>
  <c r="D34" i="10"/>
  <c r="F34" i="10"/>
  <c r="H9" i="10"/>
  <c r="H16" i="10"/>
  <c r="H30" i="10"/>
  <c r="H20" i="10"/>
  <c r="H14" i="10"/>
  <c r="H27" i="10"/>
  <c r="W12" i="10"/>
  <c r="W72" i="10" s="1"/>
  <c r="W35" i="10"/>
  <c r="W26" i="10"/>
  <c r="W18" i="10"/>
  <c r="W9" i="10"/>
  <c r="W25" i="10"/>
  <c r="W3" i="10"/>
  <c r="W32" i="10"/>
  <c r="W24" i="10"/>
  <c r="W16" i="10"/>
  <c r="W7" i="10"/>
  <c r="W40" i="10"/>
  <c r="W31" i="10"/>
  <c r="W23" i="10"/>
  <c r="W14" i="10"/>
  <c r="W6" i="10"/>
  <c r="W17" i="10"/>
  <c r="W39" i="10"/>
  <c r="W30" i="10"/>
  <c r="W22" i="10"/>
  <c r="W5" i="10"/>
  <c r="W8" i="10"/>
  <c r="W38" i="10"/>
  <c r="W29" i="10"/>
  <c r="W21" i="10"/>
  <c r="W4" i="10"/>
  <c r="W37" i="10"/>
  <c r="W28" i="10"/>
  <c r="W20" i="10"/>
  <c r="W11" i="10"/>
  <c r="W33" i="10"/>
  <c r="W36" i="10"/>
  <c r="W27" i="10"/>
  <c r="W19" i="10"/>
  <c r="W10" i="10"/>
  <c r="W13" i="10"/>
  <c r="E4" i="7"/>
  <c r="W2" i="10"/>
  <c r="T4" i="10"/>
  <c r="T24" i="10"/>
  <c r="T3" i="10"/>
  <c r="T7" i="10"/>
  <c r="T11" i="10"/>
  <c r="T15" i="10"/>
  <c r="T19" i="10"/>
  <c r="T23" i="10"/>
  <c r="T27" i="10"/>
  <c r="T31" i="10"/>
  <c r="T35" i="10"/>
  <c r="T39" i="10"/>
  <c r="T20" i="10"/>
  <c r="T10" i="10"/>
  <c r="T22" i="10"/>
  <c r="T26" i="10"/>
  <c r="T30" i="10"/>
  <c r="T38" i="10"/>
  <c r="T16" i="10"/>
  <c r="T40" i="10"/>
  <c r="T2" i="10"/>
  <c r="T6" i="10"/>
  <c r="T32" i="10"/>
  <c r="T18" i="10"/>
  <c r="T5" i="10"/>
  <c r="T9" i="10"/>
  <c r="T13" i="10"/>
  <c r="T17" i="10"/>
  <c r="T21" i="10"/>
  <c r="T25" i="10"/>
  <c r="T29" i="10"/>
  <c r="T33" i="10"/>
  <c r="T37" i="10"/>
  <c r="T8" i="10"/>
  <c r="T28" i="10"/>
  <c r="T36" i="10"/>
  <c r="T14" i="10"/>
  <c r="R11" i="10"/>
  <c r="R23" i="10"/>
  <c r="R35" i="10"/>
  <c r="R2" i="10"/>
  <c r="R6" i="10"/>
  <c r="R10" i="10"/>
  <c r="R14" i="10"/>
  <c r="R18" i="10"/>
  <c r="R22" i="10"/>
  <c r="R26" i="10"/>
  <c r="R30" i="10"/>
  <c r="R38" i="10"/>
  <c r="R3" i="10"/>
  <c r="R27" i="10"/>
  <c r="R5" i="10"/>
  <c r="R9" i="10"/>
  <c r="R13" i="10"/>
  <c r="R17" i="10"/>
  <c r="R21" i="10"/>
  <c r="R25" i="10"/>
  <c r="R29" i="10"/>
  <c r="R33" i="10"/>
  <c r="R37" i="10"/>
  <c r="R39" i="10"/>
  <c r="R7" i="10"/>
  <c r="R15" i="10"/>
  <c r="R19" i="10"/>
  <c r="R31" i="10"/>
  <c r="R4" i="10"/>
  <c r="R8" i="10"/>
  <c r="R16" i="10"/>
  <c r="R20" i="10"/>
  <c r="R24" i="10"/>
  <c r="R28" i="10"/>
  <c r="R32" i="10"/>
  <c r="R36" i="10"/>
  <c r="R40" i="10"/>
  <c r="L5" i="10"/>
  <c r="L9" i="10"/>
  <c r="L13" i="10"/>
  <c r="L17" i="10"/>
  <c r="L21" i="10"/>
  <c r="L25" i="10"/>
  <c r="L29" i="10"/>
  <c r="L33" i="10"/>
  <c r="L37" i="10"/>
  <c r="L4" i="10"/>
  <c r="L8" i="10"/>
  <c r="L16" i="10"/>
  <c r="L20" i="10"/>
  <c r="L24" i="10"/>
  <c r="L28" i="10"/>
  <c r="L32" i="10"/>
  <c r="L36" i="10"/>
  <c r="L40" i="10"/>
  <c r="L2" i="10"/>
  <c r="L3" i="10"/>
  <c r="L7" i="10"/>
  <c r="L11" i="10"/>
  <c r="L15" i="10"/>
  <c r="L19" i="10"/>
  <c r="L23" i="10"/>
  <c r="L27" i="10"/>
  <c r="L31" i="10"/>
  <c r="L35" i="10"/>
  <c r="L39" i="10"/>
  <c r="L6" i="10"/>
  <c r="L10" i="10"/>
  <c r="L14" i="10"/>
  <c r="L18" i="10"/>
  <c r="L22" i="10"/>
  <c r="L26" i="10"/>
  <c r="L30" i="10"/>
  <c r="L38" i="10"/>
  <c r="J3" i="10"/>
  <c r="J7" i="10"/>
  <c r="J11" i="10"/>
  <c r="J15" i="10"/>
  <c r="J19" i="10"/>
  <c r="J23" i="10"/>
  <c r="J27" i="10"/>
  <c r="J31" i="10"/>
  <c r="J35" i="10"/>
  <c r="J39" i="10"/>
  <c r="J40" i="10"/>
  <c r="J24" i="10"/>
  <c r="J32" i="10"/>
  <c r="J6" i="10"/>
  <c r="J10" i="10"/>
  <c r="J14" i="10"/>
  <c r="J18" i="10"/>
  <c r="J22" i="10"/>
  <c r="J26" i="10"/>
  <c r="J30" i="10"/>
  <c r="J38" i="10"/>
  <c r="J20" i="10"/>
  <c r="J8" i="10"/>
  <c r="J28" i="10"/>
  <c r="J36" i="10"/>
  <c r="J2" i="10"/>
  <c r="J5" i="10"/>
  <c r="J9" i="10"/>
  <c r="J13" i="10"/>
  <c r="J17" i="10"/>
  <c r="J21" i="10"/>
  <c r="J25" i="10"/>
  <c r="J29" i="10"/>
  <c r="J33" i="10"/>
  <c r="J37" i="10"/>
  <c r="J4" i="10"/>
  <c r="J16" i="10"/>
  <c r="D22" i="10"/>
  <c r="D30" i="10"/>
  <c r="D38" i="10"/>
  <c r="D2" i="10"/>
  <c r="D14" i="10"/>
  <c r="D18" i="10"/>
  <c r="D26" i="10"/>
  <c r="D5" i="10"/>
  <c r="D9" i="10"/>
  <c r="D13" i="10"/>
  <c r="D17" i="10"/>
  <c r="D21" i="10"/>
  <c r="D25" i="10"/>
  <c r="D29" i="10"/>
  <c r="D33" i="10"/>
  <c r="D37" i="10"/>
  <c r="D10" i="10"/>
  <c r="D32" i="10"/>
  <c r="D36" i="10"/>
  <c r="D40" i="10"/>
  <c r="D24" i="10"/>
  <c r="D6" i="10"/>
  <c r="D16" i="10"/>
  <c r="D28" i="10"/>
  <c r="D7" i="10"/>
  <c r="D11" i="10"/>
  <c r="D15" i="10"/>
  <c r="D19" i="10"/>
  <c r="D23" i="10"/>
  <c r="D27" i="10"/>
  <c r="D31" i="10"/>
  <c r="D35" i="10"/>
  <c r="D39" i="10"/>
  <c r="D4" i="10"/>
  <c r="D8" i="10"/>
  <c r="D20" i="10"/>
  <c r="D3" i="10"/>
  <c r="F40" i="10"/>
  <c r="F31" i="10"/>
  <c r="F23" i="10"/>
  <c r="F14" i="10"/>
  <c r="F6" i="10"/>
  <c r="F30" i="10"/>
  <c r="F3" i="10"/>
  <c r="F32" i="10"/>
  <c r="F24" i="10"/>
  <c r="F16" i="10"/>
  <c r="F7" i="10"/>
  <c r="F5" i="10"/>
  <c r="F38" i="10"/>
  <c r="F29" i="10"/>
  <c r="F21" i="10"/>
  <c r="F4" i="10"/>
  <c r="F13" i="10"/>
  <c r="F37" i="10"/>
  <c r="F28" i="10"/>
  <c r="F20" i="10"/>
  <c r="F11" i="10"/>
  <c r="F2" i="10"/>
  <c r="F15" i="10"/>
  <c r="F39" i="10"/>
  <c r="F36" i="10"/>
  <c r="F27" i="10"/>
  <c r="F19" i="10"/>
  <c r="F10" i="10"/>
  <c r="F22" i="10"/>
  <c r="F35" i="10"/>
  <c r="F26" i="10"/>
  <c r="F18" i="10"/>
  <c r="F9" i="10"/>
  <c r="F33" i="10"/>
  <c r="F25" i="10"/>
  <c r="F17" i="10"/>
  <c r="F8" i="10"/>
  <c r="L53" i="10" l="1"/>
  <c r="T53" i="10"/>
  <c r="J53" i="10"/>
  <c r="R53" i="10"/>
  <c r="D53" i="10"/>
  <c r="F53" i="10"/>
  <c r="E7" i="14"/>
  <c r="E10" i="14"/>
  <c r="E11" i="14"/>
  <c r="E6" i="14"/>
  <c r="E8" i="14"/>
  <c r="E9" i="14"/>
  <c r="K45" i="10"/>
  <c r="D9" i="14"/>
  <c r="D7" i="14"/>
  <c r="D10" i="14"/>
  <c r="D11" i="14"/>
  <c r="D5" i="14"/>
  <c r="D6" i="14"/>
  <c r="D8" i="14"/>
  <c r="C4" i="14"/>
  <c r="C9" i="14"/>
  <c r="C7" i="14"/>
  <c r="C8" i="14"/>
  <c r="C10" i="14"/>
  <c r="C11" i="14"/>
  <c r="C6" i="14"/>
  <c r="C5" i="14"/>
  <c r="C16" i="14" s="1"/>
  <c r="I11" i="14"/>
  <c r="I10" i="14"/>
  <c r="H10" i="14"/>
  <c r="G10" i="14"/>
  <c r="F10" i="14"/>
  <c r="F11" i="14"/>
  <c r="F8" i="14"/>
  <c r="F9" i="14"/>
  <c r="F7" i="14"/>
  <c r="E45" i="10"/>
  <c r="S84" i="10"/>
  <c r="Q65" i="10"/>
  <c r="S45" i="10"/>
  <c r="K64" i="10"/>
  <c r="K65" i="10"/>
  <c r="J90" i="10"/>
  <c r="J92" i="10"/>
  <c r="R92" i="10"/>
  <c r="R90" i="10"/>
  <c r="S64" i="10"/>
  <c r="S65" i="10"/>
  <c r="S83" i="10"/>
  <c r="F90" i="10"/>
  <c r="F92" i="10"/>
  <c r="I83" i="10"/>
  <c r="I84" i="10"/>
  <c r="F91" i="10"/>
  <c r="F93" i="10"/>
  <c r="I64" i="10"/>
  <c r="I65" i="10"/>
  <c r="Q83" i="10"/>
  <c r="Q84" i="10"/>
  <c r="D92" i="10"/>
  <c r="D90" i="10"/>
  <c r="W47" i="10"/>
  <c r="W51" i="10"/>
  <c r="W60" i="10"/>
  <c r="W63" i="10"/>
  <c r="W48" i="10"/>
  <c r="W52" i="10"/>
  <c r="W61" i="10"/>
  <c r="W66" i="10"/>
  <c r="W49" i="10"/>
  <c r="W56" i="10"/>
  <c r="W43" i="10"/>
  <c r="W62" i="10"/>
  <c r="W67" i="10"/>
  <c r="W46" i="10"/>
  <c r="W50" i="10"/>
  <c r="W57" i="10"/>
  <c r="W58" i="10" s="1"/>
  <c r="W59" i="10"/>
  <c r="W44" i="10"/>
  <c r="Q64" i="10"/>
  <c r="C45" i="10"/>
  <c r="W80" i="10"/>
  <c r="W81" i="10"/>
  <c r="W85" i="10"/>
  <c r="W75" i="10"/>
  <c r="W78" i="10"/>
  <c r="W82" i="10"/>
  <c r="W86" i="10"/>
  <c r="W76" i="10"/>
  <c r="W77" i="10" s="1"/>
  <c r="W79" i="10"/>
  <c r="E64" i="10"/>
  <c r="E65" i="10"/>
  <c r="K84" i="10"/>
  <c r="K83" i="10"/>
  <c r="C64" i="10"/>
  <c r="C65" i="10"/>
  <c r="C83" i="10"/>
  <c r="C84" i="10"/>
  <c r="D91" i="10"/>
  <c r="D93" i="10"/>
  <c r="R93" i="10"/>
  <c r="R91" i="10"/>
  <c r="L90" i="10"/>
  <c r="L92" i="10"/>
  <c r="L93" i="10"/>
  <c r="L91" i="10"/>
  <c r="E83" i="10"/>
  <c r="E84" i="10"/>
  <c r="Q45" i="10"/>
  <c r="T92" i="10"/>
  <c r="T90" i="10"/>
  <c r="J91" i="10"/>
  <c r="J93" i="10"/>
  <c r="T91" i="10"/>
  <c r="T93" i="10"/>
  <c r="I45" i="10"/>
  <c r="E38" i="7"/>
  <c r="E13" i="7"/>
  <c r="E5" i="7"/>
  <c r="X34" i="10"/>
  <c r="H3" i="10"/>
  <c r="X6" i="10"/>
  <c r="X32" i="10"/>
  <c r="X26" i="10"/>
  <c r="X30" i="10"/>
  <c r="X37" i="10"/>
  <c r="X24" i="10"/>
  <c r="X18" i="10"/>
  <c r="X28" i="10"/>
  <c r="X14" i="10"/>
  <c r="X3" i="10"/>
  <c r="X35" i="10"/>
  <c r="X39" i="10"/>
  <c r="X23" i="10"/>
  <c r="X8" i="10"/>
  <c r="X10" i="10"/>
  <c r="X13" i="10"/>
  <c r="X21" i="10"/>
  <c r="X31" i="10"/>
  <c r="X17" i="10"/>
  <c r="X19" i="10"/>
  <c r="X29" i="10"/>
  <c r="X40" i="10"/>
  <c r="X25" i="10"/>
  <c r="X27" i="10"/>
  <c r="X22" i="10"/>
  <c r="X38" i="10"/>
  <c r="X7" i="10"/>
  <c r="X33" i="10"/>
  <c r="X36" i="10"/>
  <c r="X11" i="10"/>
  <c r="X4" i="10"/>
  <c r="X5" i="10"/>
  <c r="X16" i="10"/>
  <c r="X9" i="10"/>
  <c r="X15" i="10"/>
  <c r="X2" i="10"/>
  <c r="X20" i="10"/>
  <c r="C15" i="14" l="1"/>
  <c r="C26" i="14" s="1"/>
  <c r="X53" i="10"/>
  <c r="C20" i="14"/>
  <c r="C31" i="14" s="1"/>
  <c r="F29" i="14"/>
  <c r="F31" i="14"/>
  <c r="C27" i="14"/>
  <c r="F30" i="14"/>
  <c r="C17" i="14"/>
  <c r="C28" i="14" s="1"/>
  <c r="F33" i="14"/>
  <c r="C22" i="14"/>
  <c r="C33" i="14" s="1"/>
  <c r="F32" i="14"/>
  <c r="C21" i="14"/>
  <c r="C32" i="14" s="1"/>
  <c r="C19" i="14"/>
  <c r="C30" i="14" s="1"/>
  <c r="T95" i="10"/>
  <c r="T96" i="10" s="1"/>
  <c r="T97" i="10" s="1"/>
  <c r="C18" i="14"/>
  <c r="C29" i="14" s="1"/>
  <c r="L95" i="10"/>
  <c r="F94" i="10"/>
  <c r="F96" i="10" s="1"/>
  <c r="F97" i="10" s="1"/>
  <c r="F95" i="10"/>
  <c r="J95" i="10"/>
  <c r="J94" i="10"/>
  <c r="J96" i="10" s="1"/>
  <c r="J97" i="10" s="1"/>
  <c r="X90" i="10"/>
  <c r="X92" i="10"/>
  <c r="T94" i="10"/>
  <c r="L94" i="10"/>
  <c r="L96" i="10" s="1"/>
  <c r="L97" i="10" s="1"/>
  <c r="W45" i="10"/>
  <c r="D95" i="10"/>
  <c r="D94" i="10"/>
  <c r="D96" i="10" s="1"/>
  <c r="D97" i="10" s="1"/>
  <c r="R94" i="10"/>
  <c r="R95" i="10"/>
  <c r="R96" i="10" s="1"/>
  <c r="R97" i="10" s="1"/>
  <c r="X91" i="10"/>
  <c r="X93" i="10"/>
  <c r="W83" i="10"/>
  <c r="W84" i="10"/>
  <c r="W65" i="10"/>
  <c r="W64" i="10"/>
  <c r="E39" i="7"/>
  <c r="F39" i="7" s="1"/>
  <c r="E14" i="7"/>
  <c r="E6" i="7"/>
  <c r="X94" i="10" l="1"/>
  <c r="X96" i="10" s="1"/>
  <c r="X97" i="10" s="1"/>
  <c r="X95" i="10"/>
  <c r="F36" i="7"/>
  <c r="F35" i="7"/>
  <c r="E15" i="7"/>
  <c r="F38" i="7"/>
  <c r="F40" i="7"/>
  <c r="F37" i="7"/>
  <c r="E7" i="7"/>
  <c r="E16" i="7" l="1"/>
  <c r="F16" i="7" s="1"/>
  <c r="E8" i="7"/>
  <c r="F7" i="7" s="1"/>
  <c r="F13" i="7" l="1"/>
  <c r="F12" i="7"/>
  <c r="F14" i="7"/>
  <c r="F8" i="7"/>
  <c r="F4" i="7"/>
  <c r="F17" i="7"/>
  <c r="F15" i="7"/>
  <c r="F5" i="7"/>
  <c r="F6" i="7"/>
  <c r="F24" i="7"/>
  <c r="F31" i="7"/>
  <c r="F23" i="7" l="1"/>
  <c r="F30" i="7"/>
  <c r="F29" i="7"/>
  <c r="F28" i="7"/>
  <c r="F22" i="7"/>
  <c r="F21" i="7"/>
  <c r="F66" i="7" l="1"/>
  <c r="F62" i="7"/>
  <c r="F65" i="7"/>
  <c r="F64" i="7"/>
  <c r="F63" i="7"/>
  <c r="F57" i="7"/>
  <c r="F55" i="7" l="1"/>
  <c r="F58" i="7"/>
  <c r="F53" i="7"/>
  <c r="F54" i="7"/>
  <c r="F5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Torsten Frey</author>
    <author>Frey, Torsten</author>
  </authors>
  <commentList>
    <comment ref="E2" authorId="0" shapeId="0" xr:uid="{7D9B9F47-87ED-4053-A0AD-22EDE8DE7A94}">
      <text>
        <r>
          <rPr>
            <b/>
            <sz val="9"/>
            <color indexed="81"/>
            <rFont val="Segoe UI"/>
          </rPr>
          <t>Torsten Frey:</t>
        </r>
        <r>
          <rPr>
            <sz val="9"/>
            <color indexed="81"/>
            <rFont val="Segoe UI"/>
          </rPr>
          <t xml:space="preserve">
sub area count 96
sub area cleared 157
ratio: 1.63542</t>
        </r>
      </text>
    </comment>
    <comment ref="K2" authorId="1" shapeId="0" xr:uid="{DCB388AA-A28C-4944-8AD1-FA95B1425CDD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Expert annotations overwritten due to evidence from immediate action programme</t>
        </r>
      </text>
    </comment>
    <comment ref="B12" authorId="0" shapeId="0" xr:uid="{4F3BB08A-6A1E-46C1-8C7A-97CD96C66DFB}">
      <text>
        <r>
          <rPr>
            <b/>
            <sz val="9"/>
            <color indexed="81"/>
            <rFont val="Segoe UI"/>
            <family val="2"/>
          </rPr>
          <t>Torsten Frey:</t>
        </r>
        <r>
          <rPr>
            <sz val="9"/>
            <color indexed="81"/>
            <rFont val="Segoe UI"/>
            <family val="2"/>
          </rPr>
          <t xml:space="preserve">
The only pile in Kolberger Heide in this dataset. Therefore, no Correlation was tested and thus no rank was given.</t>
        </r>
      </text>
    </comment>
    <comment ref="E34" authorId="1" shapeId="0" xr:uid="{C1A5F2AF-372A-4982-B4F8-2B22B069B6F3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Only Expert 1, because Experts 2 and 3 annotated an incomplete photomosaic</t>
        </r>
      </text>
    </comment>
    <comment ref="O47" authorId="1" shapeId="0" xr:uid="{5B61CA44-9C8D-417A-94B1-CA03294C15CE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Was 1.84 as of March 31, 2025, which is why it is implemented this way in the model.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Frey, Torsten</author>
  </authors>
  <commentList>
    <comment ref="B3" authorId="0" shapeId="0" xr:uid="{A7116B82-E0BF-40FC-9C25-0C7AB3B0F084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three times</t>
        </r>
      </text>
    </comment>
    <comment ref="B14" authorId="0" shapeId="0" xr:uid="{8BE25459-81E6-4D50-BD54-57B3996AB355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</t>
        </r>
      </text>
    </comment>
    <comment ref="B16" authorId="0" shapeId="0" xr:uid="{0A0B177E-C967-4901-9154-0E1C5BEB08FC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 </t>
        </r>
      </text>
    </comment>
    <comment ref="D16" authorId="0" shapeId="0" xr:uid="{4A4D6419-4F1E-460B-8745-9A06649DFA3D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annotation of AL609 was not used due to incomplete PM.</t>
        </r>
      </text>
    </comment>
    <comment ref="B18" authorId="0" shapeId="0" xr:uid="{D07B45AA-0782-44E8-9D75-44BE7AF14014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</t>
        </r>
      </text>
    </comment>
    <comment ref="B21" authorId="0" shapeId="0" xr:uid="{F99C82FF-2FC2-47C8-84B2-74D7C32D4A5C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</t>
        </r>
      </text>
    </comment>
    <comment ref="B22" authorId="0" shapeId="0" xr:uid="{7B9949C1-756B-4E2F-A166-41A36F8D7E61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once together with Pzh_107</t>
        </r>
      </text>
    </comment>
    <comment ref="K36" authorId="0" shapeId="0" xr:uid="{858F0A74-E375-4431-89FF-AAECBED2F665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most objects partially buried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Frey, Torsten</author>
  </authors>
  <commentList>
    <comment ref="B3" authorId="0" shapeId="0" xr:uid="{1D6359BB-FDD5-4C4C-A458-BD7E473A98D2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three times</t>
        </r>
      </text>
    </comment>
    <comment ref="B5" authorId="0" shapeId="0" xr:uid="{E142DE99-B06D-4564-8014-FE6FE371E298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together with Haf_00316</t>
        </r>
      </text>
    </comment>
    <comment ref="B6" authorId="0" shapeId="0" xr:uid="{2BFDB6F4-8908-49C5-96A4-2D36D4D5F8A4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together with Haf_00315</t>
        </r>
      </text>
    </comment>
    <comment ref="B14" authorId="0" shapeId="0" xr:uid="{9B7AC942-3663-4CEC-9E16-CAF21C4ECD41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</t>
        </r>
      </text>
    </comment>
    <comment ref="B18" authorId="0" shapeId="0" xr:uid="{2CD67543-147A-4C21-8443-3FDDDD553007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</t>
        </r>
      </text>
    </comment>
    <comment ref="B21" authorId="0" shapeId="0" xr:uid="{190D1AAC-41BE-4BF6-9E83-23000AEEED85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</t>
        </r>
      </text>
    </comment>
    <comment ref="B22" authorId="0" shapeId="0" xr:uid="{84AA0847-C12B-40DB-B70C-920D6ED8A838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once together with Pzh_107</t>
        </r>
      </text>
    </comment>
    <comment ref="B25" authorId="0" shapeId="0" xr:uid="{09F25F10-810F-4493-B038-4482F4E778DD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together with Pzh_127</t>
        </r>
      </text>
    </comment>
    <comment ref="B26" authorId="0" shapeId="0" xr:uid="{491453E0-EFFE-4528-93AC-2F6407AE8E49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together with Pzh_126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Frey, Torsten</author>
  </authors>
  <commentList>
    <comment ref="D3" authorId="0" shapeId="0" xr:uid="{8559350A-5A83-4ABC-A865-5A1949540C58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Cannot georeference correctly</t>
        </r>
      </text>
    </comment>
    <comment ref="B13" authorId="0" shapeId="0" xr:uid="{C5A8CE54-6884-4CB3-9A98-36BB4DFB0A34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</t>
        </r>
      </text>
    </comment>
    <comment ref="B14" authorId="0" shapeId="0" xr:uid="{5482DB9C-45BB-47E7-B9C8-4073F5B09F20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Measured twice</t>
        </r>
      </text>
    </comment>
    <comment ref="B21" authorId="0" shapeId="0" xr:uid="{F8E66280-CD4A-4E76-ABF7-68F11267F60E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 (once together with Pzh_108)</t>
        </r>
      </text>
    </comment>
    <comment ref="B22" authorId="0" shapeId="0" xr:uid="{62469973-8303-4347-974B-CE733B83BBB9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Assessed twice (once together with Pzh_107)</t>
        </r>
      </text>
    </comment>
    <comment ref="B29" authorId="0" shapeId="0" xr:uid="{6A767EDE-4D53-4AF0-A83B-8E47071FCFAF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Measured twice</t>
        </r>
      </text>
    </comment>
    <comment ref="B31" authorId="0" shapeId="0" xr:uid="{A25E12A5-11F0-4D8A-8421-BB856F021951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Measured twice</t>
        </r>
      </text>
    </comment>
    <comment ref="B32" authorId="0" shapeId="0" xr:uid="{4EBCECF1-C28E-425B-8054-B1C49A012AD2}">
      <text>
        <r>
          <rPr>
            <b/>
            <sz val="9"/>
            <color indexed="81"/>
            <rFont val="Segoe UI"/>
            <family val="2"/>
          </rPr>
          <t>Frey, Torsten:</t>
        </r>
        <r>
          <rPr>
            <sz val="9"/>
            <color indexed="81"/>
            <rFont val="Segoe UI"/>
            <family val="2"/>
          </rPr>
          <t xml:space="preserve">
Measured twice</t>
        </r>
      </text>
    </comment>
  </commentList>
</comments>
</file>

<file path=xl/sharedStrings.xml><?xml version="1.0" encoding="utf-8"?>
<sst xmlns="http://schemas.openxmlformats.org/spreadsheetml/2006/main" count="458" uniqueCount="170">
  <si>
    <t>ID</t>
  </si>
  <si>
    <t>Pzh_00035</t>
  </si>
  <si>
    <t>Pzh_00202</t>
  </si>
  <si>
    <t>Pzh_00200</t>
  </si>
  <si>
    <t>Pzh_00287</t>
  </si>
  <si>
    <t>Pzh_00002</t>
  </si>
  <si>
    <t>Pzh_00269</t>
  </si>
  <si>
    <t>Pzh_00012</t>
  </si>
  <si>
    <t>Pzh_00266</t>
  </si>
  <si>
    <t>Pzh_00037</t>
  </si>
  <si>
    <t>Pzh_00032</t>
  </si>
  <si>
    <t>Pzh_00242</t>
  </si>
  <si>
    <t>Pzh_00241</t>
  </si>
  <si>
    <t>Pzh_00222</t>
  </si>
  <si>
    <t>Pzh_00219</t>
  </si>
  <si>
    <t>Pzh_00192</t>
  </si>
  <si>
    <t>Pzh_00187</t>
  </si>
  <si>
    <t>Pzh_00186</t>
  </si>
  <si>
    <t>Pzh_00185</t>
  </si>
  <si>
    <t>Pzh_00155</t>
  </si>
  <si>
    <t>Pzh_00127</t>
  </si>
  <si>
    <t>Pzh_00126</t>
  </si>
  <si>
    <t>Pzh_00122</t>
  </si>
  <si>
    <t>Pzh_00109</t>
  </si>
  <si>
    <t>Pzh_00108</t>
  </si>
  <si>
    <t>Pzh_00107</t>
  </si>
  <si>
    <t>Pzh_00066</t>
  </si>
  <si>
    <t>Pzh_00009</t>
  </si>
  <si>
    <t>Pzh_02219</t>
  </si>
  <si>
    <t>Haf_00314</t>
  </si>
  <si>
    <t>Haf_00315</t>
  </si>
  <si>
    <t>Haf_00316</t>
  </si>
  <si>
    <t>Haf_00002</t>
  </si>
  <si>
    <t>Haf_00318</t>
  </si>
  <si>
    <t>Haf_00319</t>
  </si>
  <si>
    <t>Haf_00320</t>
  </si>
  <si>
    <t>Haf_00323</t>
  </si>
  <si>
    <t>Haf_00324</t>
  </si>
  <si>
    <t>Haf_00332</t>
  </si>
  <si>
    <t>Kbh_00001</t>
  </si>
  <si>
    <t>Meaning</t>
  </si>
  <si>
    <t>Class</t>
  </si>
  <si>
    <t>Number</t>
  </si>
  <si>
    <t>Comment</t>
  </si>
  <si>
    <t>Mean overall</t>
  </si>
  <si>
    <t>Mean Haf</t>
  </si>
  <si>
    <t>Mean Kbh</t>
  </si>
  <si>
    <t>Mean Pzh</t>
  </si>
  <si>
    <t>Overall</t>
  </si>
  <si>
    <t>Stdev overall</t>
  </si>
  <si>
    <t>Min overall</t>
  </si>
  <si>
    <t>Max overall</t>
  </si>
  <si>
    <t>Mean + 3Stdev overall</t>
  </si>
  <si>
    <t>Min Haf</t>
  </si>
  <si>
    <t>Max Haf</t>
  </si>
  <si>
    <t>Min Pzh</t>
  </si>
  <si>
    <t>Max Pzh</t>
  </si>
  <si>
    <t>Mean + Stdev Haf</t>
  </si>
  <si>
    <t>Mean - Stdev Haf</t>
  </si>
  <si>
    <t>Mean - Stdev Pzh</t>
  </si>
  <si>
    <t>Mean + Stdev Pzh</t>
  </si>
  <si>
    <t>StErr Haf</t>
  </si>
  <si>
    <t>StErr Pzh</t>
  </si>
  <si>
    <t>StDev Haf</t>
  </si>
  <si>
    <t>StDev Pzh</t>
  </si>
  <si>
    <t>t-value</t>
  </si>
  <si>
    <t>p-value</t>
  </si>
  <si>
    <t>Count</t>
  </si>
  <si>
    <t>IQR (upper boundary) overall</t>
  </si>
  <si>
    <t>Rangsumme Haf</t>
  </si>
  <si>
    <t>Rangsumme Pzh</t>
  </si>
  <si>
    <t>Count Haf</t>
  </si>
  <si>
    <t>Count Pzh</t>
  </si>
  <si>
    <t>U-Value Haf</t>
  </si>
  <si>
    <t>U-Value Pzh</t>
  </si>
  <si>
    <t>z-value</t>
  </si>
  <si>
    <t>p-value (u-test)</t>
  </si>
  <si>
    <t>Median overall</t>
  </si>
  <si>
    <t>Median Haf</t>
  </si>
  <si>
    <t>IQR (lower boundary) overall</t>
  </si>
  <si>
    <t>Median Pzh</t>
  </si>
  <si>
    <t>Mann-Whitney-U-Test (Haf vs. Pzh)</t>
  </si>
  <si>
    <t>Assumed none/corrosion at the surface</t>
  </si>
  <si>
    <t>Large holes/strong corrosion</t>
  </si>
  <si>
    <t>Over 50 % gone/almost complete corrosion</t>
  </si>
  <si>
    <t>Scour visible</t>
  </si>
  <si>
    <t>Identification not possible</t>
  </si>
  <si>
    <t>Only for magnetic data</t>
  </si>
  <si>
    <t>Only one or two objects differ from the main type; two types of boxes</t>
  </si>
  <si>
    <t>E.g., several types of boxes</t>
  </si>
  <si>
    <t>Very disorderly</t>
  </si>
  <si>
    <t>Complete corrosion/loose explosives</t>
  </si>
  <si>
    <t>Holes and cracks visible/deformation due to corrosion</t>
  </si>
  <si>
    <t>(0.50, 0.75]</t>
  </si>
  <si>
    <t>(0.75, 1.00]</t>
  </si>
  <si>
    <t>(1.00, 1.25]</t>
  </si>
  <si>
    <t>(1.25, 1.50]</t>
  </si>
  <si>
    <t>(0.25, 0.50]</t>
  </si>
  <si>
    <t>&gt; 1.50</t>
  </si>
  <si>
    <t>Variability</t>
  </si>
  <si>
    <t>Layering</t>
  </si>
  <si>
    <t>Stat of corrosion</t>
  </si>
  <si>
    <t>Burial state</t>
  </si>
  <si>
    <t>Largest object</t>
  </si>
  <si>
    <t>Median object size</t>
  </si>
  <si>
    <t>Number of objects</t>
  </si>
  <si>
    <t>Area</t>
  </si>
  <si>
    <t>Correlation Coefficient</t>
  </si>
  <si>
    <t>2
Weak</t>
  </si>
  <si>
    <t>3
Medium</t>
  </si>
  <si>
    <t>4
Strong</t>
  </si>
  <si>
    <t>0
None</t>
  </si>
  <si>
    <t>1
Very Weak</t>
  </si>
  <si>
    <t>1
Weak</t>
  </si>
  <si>
    <t>2
Medium</t>
  </si>
  <si>
    <t>3
Strong</t>
  </si>
  <si>
    <t>1
Very weak</t>
  </si>
  <si>
    <t>5
Complete</t>
  </si>
  <si>
    <t>1
Slightly</t>
  </si>
  <si>
    <t>3
Strongly</t>
  </si>
  <si>
    <t>4
Completely</t>
  </si>
  <si>
    <t>Q1 Haf</t>
  </si>
  <si>
    <t>Q3 Haf</t>
  </si>
  <si>
    <t>Q1 Pzh</t>
  </si>
  <si>
    <t>Q3 Pzh</t>
  </si>
  <si>
    <t>Q1 overall</t>
  </si>
  <si>
    <t>Q3 overall</t>
  </si>
  <si>
    <t>Sum Haf</t>
  </si>
  <si>
    <t>Percentage</t>
  </si>
  <si>
    <t>(1, 100]</t>
  </si>
  <si>
    <t>(100, 200]</t>
  </si>
  <si>
    <t>(200, 300]</t>
  </si>
  <si>
    <t>(300, 400]</t>
  </si>
  <si>
    <t>(400, 500]</t>
  </si>
  <si>
    <t>&gt; 600</t>
  </si>
  <si>
    <t>IQR (upper boundary) Pzh</t>
  </si>
  <si>
    <t>IQR (lower boundary) Pzh</t>
  </si>
  <si>
    <t>IQR (upper boundary) Haf</t>
  </si>
  <si>
    <t>IQR (lower boundary) Haf</t>
  </si>
  <si>
    <t>Largest object size</t>
  </si>
  <si>
    <t>State of the fuze</t>
  </si>
  <si>
    <t>Layering of objects</t>
  </si>
  <si>
    <t>Variability of the pile</t>
  </si>
  <si>
    <t>State of corrosion of the casing</t>
  </si>
  <si>
    <t>0
Confirmed No Fuze</t>
  </si>
  <si>
    <t>1
Assumed No Fuze</t>
  </si>
  <si>
    <t>2
Mixed</t>
  </si>
  <si>
    <t>3
Fuzed</t>
  </si>
  <si>
    <t>Number of Measurements</t>
  </si>
  <si>
    <t>Number of objects (rank)</t>
  </si>
  <si>
    <t>Variability of the pile (rank)</t>
  </si>
  <si>
    <t>Number of objects (log-log regression adjusted)</t>
  </si>
  <si>
    <t>Number of objects (deviation in log-space (epsilon))</t>
  </si>
  <si>
    <t>Layering of objects (rank)</t>
  </si>
  <si>
    <t>State of the fuze (rank)</t>
  </si>
  <si>
    <t>Largest object size (rank)</t>
  </si>
  <si>
    <t>Median object size (rank)</t>
  </si>
  <si>
    <t>State of corrosion of the casing (rank)</t>
  </si>
  <si>
    <t>Burial state (rank)</t>
  </si>
  <si>
    <t>Area [m²]</t>
  </si>
  <si>
    <t>Area (rank)</t>
  </si>
  <si>
    <t>Largest object size [m]</t>
  </si>
  <si>
    <t>Median object size [m]</t>
  </si>
  <si>
    <t>Number of objects/Area</t>
  </si>
  <si>
    <t>Number of objects/Area (rank)</t>
  </si>
  <si>
    <t>Haffkrug</t>
  </si>
  <si>
    <t>Kolberger Heide</t>
  </si>
  <si>
    <t>Pelzerhaken</t>
  </si>
  <si>
    <t>Residual scatter Haf</t>
  </si>
  <si>
    <t>Residual scatter Pzh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</si>
</sst>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0"/>
    <numFmt numFmtId="166" formatCode="0.000"/>
    <numFmt numFmtId="167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</font>
    <font>
      <b/>
      <sz val="11"/>
      <name val="Calibri"/>
      <family val="2"/>
      <scheme val="minor"/>
    </font>
    <font>
      <b/>
      <sz val="9"/>
      <color indexed="81"/>
      <name val="Segoe UI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theme="1"/>
      </right>
      <top/>
      <bottom style="thin">
        <color rgb="FF000000"/>
      </bottom>
      <diagonal/>
    </border>
    <border>
      <left style="thin">
        <color rgb="FF000000"/>
      </left>
      <right style="medium">
        <color theme="1"/>
      </right>
      <top style="thin">
        <color rgb="FF000000"/>
      </top>
      <bottom style="thin">
        <color rgb="FF000000"/>
      </bottom>
      <diagonal/>
    </border>
    <border>
      <left style="medium">
        <color theme="1"/>
      </left>
      <right style="thin">
        <color rgb="FF000000"/>
      </right>
      <top style="thin">
        <color rgb="FF000000"/>
      </top>
      <bottom style="medium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theme="1"/>
      </bottom>
      <diagonal/>
    </border>
    <border>
      <left style="thin">
        <color rgb="FF000000"/>
      </left>
      <right style="medium">
        <color theme="1"/>
      </right>
      <top style="thin">
        <color rgb="FF000000"/>
      </top>
      <bottom style="medium">
        <color theme="1"/>
      </bottom>
      <diagonal/>
    </border>
    <border>
      <left style="medium">
        <color theme="1"/>
      </left>
      <right style="thin">
        <color rgb="FF000000"/>
      </right>
      <top/>
      <bottom style="thin">
        <color rgb="FF000000"/>
      </bottom>
      <diagonal/>
    </border>
    <border>
      <left style="medium">
        <color theme="1"/>
      </left>
      <right style="thin">
        <color rgb="FF000000"/>
      </right>
      <top style="medium">
        <color theme="1"/>
      </top>
      <bottom style="medium">
        <color theme="1"/>
      </bottom>
      <diagonal/>
    </border>
    <border>
      <left style="thin">
        <color rgb="FF000000"/>
      </left>
      <right style="thin">
        <color rgb="FF000000"/>
      </right>
      <top style="medium">
        <color theme="1"/>
      </top>
      <bottom style="medium">
        <color theme="1"/>
      </bottom>
      <diagonal/>
    </border>
    <border>
      <left style="thin">
        <color rgb="FF000000"/>
      </left>
      <right/>
      <top style="medium">
        <color theme="1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000000"/>
      </left>
      <right style="medium">
        <color theme="1"/>
      </right>
      <top style="thin">
        <color rgb="FF000000"/>
      </top>
      <bottom/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theme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133">
    <xf numFmtId="0" fontId="0" fillId="0" borderId="0" xfId="0"/>
    <xf numFmtId="1" fontId="0" fillId="0" borderId="0" xfId="0" applyNumberFormat="1"/>
    <xf numFmtId="0" fontId="4" fillId="0" borderId="0" xfId="0" applyFont="1"/>
    <xf numFmtId="1" fontId="0" fillId="3" borderId="1" xfId="0" applyNumberFormat="1" applyFill="1" applyBorder="1" applyAlignment="1">
      <alignment vertical="center" wrapText="1"/>
    </xf>
    <xf numFmtId="0" fontId="0" fillId="0" borderId="0" xfId="0" applyFill="1"/>
    <xf numFmtId="164" fontId="0" fillId="3" borderId="1" xfId="0" applyNumberFormat="1" applyFill="1" applyBorder="1" applyAlignment="1">
      <alignment vertical="center" wrapText="1"/>
    </xf>
    <xf numFmtId="2" fontId="4" fillId="0" borderId="0" xfId="0" applyNumberFormat="1" applyFont="1" applyFill="1"/>
    <xf numFmtId="0" fontId="4" fillId="0" borderId="0" xfId="0" applyFont="1" applyFill="1"/>
    <xf numFmtId="167" fontId="0" fillId="0" borderId="0" xfId="1" applyNumberFormat="1" applyFont="1" applyBorder="1"/>
    <xf numFmtId="9" fontId="0" fillId="0" borderId="0" xfId="0" applyNumberFormat="1"/>
    <xf numFmtId="2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2" fontId="4" fillId="0" borderId="7" xfId="0" applyNumberFormat="1" applyFont="1" applyFill="1" applyBorder="1"/>
    <xf numFmtId="2" fontId="4" fillId="0" borderId="7" xfId="0" applyNumberFormat="1" applyFont="1" applyFill="1" applyBorder="1" applyAlignment="1">
      <alignment vertical="center" wrapText="1"/>
    </xf>
    <xf numFmtId="0" fontId="4" fillId="0" borderId="7" xfId="0" applyFont="1" applyFill="1" applyBorder="1"/>
    <xf numFmtId="1" fontId="4" fillId="0" borderId="7" xfId="0" applyNumberFormat="1" applyFont="1" applyFill="1" applyBorder="1"/>
    <xf numFmtId="165" fontId="4" fillId="0" borderId="7" xfId="0" applyNumberFormat="1" applyFont="1" applyFill="1" applyBorder="1"/>
    <xf numFmtId="0" fontId="0" fillId="0" borderId="8" xfId="0" applyFill="1" applyBorder="1" applyAlignment="1">
      <alignment vertical="center" wrapText="1"/>
    </xf>
    <xf numFmtId="2" fontId="0" fillId="0" borderId="8" xfId="0" applyNumberFormat="1" applyFill="1" applyBorder="1" applyAlignment="1">
      <alignment vertical="center" wrapText="1"/>
    </xf>
    <xf numFmtId="1" fontId="0" fillId="0" borderId="8" xfId="0" applyNumberFormat="1" applyFill="1" applyBorder="1" applyAlignment="1">
      <alignment vertical="center" wrapText="1"/>
    </xf>
    <xf numFmtId="166" fontId="0" fillId="0" borderId="8" xfId="0" applyNumberForma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2" fontId="0" fillId="0" borderId="8" xfId="0" applyNumberFormat="1" applyBorder="1" applyAlignment="1">
      <alignment vertical="center" wrapText="1"/>
    </xf>
    <xf numFmtId="1" fontId="0" fillId="0" borderId="8" xfId="0" applyNumberFormat="1" applyBorder="1" applyAlignment="1">
      <alignment vertical="center" wrapText="1"/>
    </xf>
    <xf numFmtId="166" fontId="0" fillId="0" borderId="8" xfId="0" applyNumberFormat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1" fontId="0" fillId="0" borderId="13" xfId="0" applyNumberFormat="1" applyFill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1" fontId="0" fillId="0" borderId="13" xfId="0" applyNumberFormat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2" fontId="0" fillId="0" borderId="15" xfId="0" applyNumberFormat="1" applyBorder="1" applyAlignment="1">
      <alignment vertical="center" wrapText="1"/>
    </xf>
    <xf numFmtId="1" fontId="0" fillId="0" borderId="15" xfId="0" applyNumberFormat="1" applyBorder="1" applyAlignment="1">
      <alignment vertical="center" wrapText="1"/>
    </xf>
    <xf numFmtId="166" fontId="0" fillId="0" borderId="15" xfId="0" applyNumberFormat="1" applyBorder="1" applyAlignment="1">
      <alignment vertical="center" wrapText="1"/>
    </xf>
    <xf numFmtId="0" fontId="0" fillId="0" borderId="15" xfId="0" applyBorder="1" applyAlignment="1">
      <alignment vertical="center" wrapText="1"/>
    </xf>
    <xf numFmtId="1" fontId="0" fillId="0" borderId="16" xfId="0" applyNumberFormat="1" applyBorder="1" applyAlignment="1">
      <alignment vertical="center" wrapText="1"/>
    </xf>
    <xf numFmtId="0" fontId="0" fillId="0" borderId="17" xfId="0" applyFill="1" applyBorder="1" applyAlignment="1">
      <alignment vertical="center" wrapText="1"/>
    </xf>
    <xf numFmtId="2" fontId="0" fillId="0" borderId="18" xfId="0" applyNumberFormat="1" applyFill="1" applyBorder="1" applyAlignment="1">
      <alignment vertical="center" wrapText="1"/>
    </xf>
    <xf numFmtId="1" fontId="0" fillId="0" borderId="18" xfId="0" applyNumberFormat="1" applyFill="1" applyBorder="1" applyAlignment="1">
      <alignment vertical="center" wrapText="1"/>
    </xf>
    <xf numFmtId="166" fontId="0" fillId="0" borderId="18" xfId="0" applyNumberFormat="1" applyFill="1" applyBorder="1" applyAlignment="1">
      <alignment vertical="center" wrapText="1"/>
    </xf>
    <xf numFmtId="0" fontId="0" fillId="0" borderId="18" xfId="0" applyFill="1" applyBorder="1" applyAlignment="1">
      <alignment vertical="center" wrapText="1"/>
    </xf>
    <xf numFmtId="1" fontId="0" fillId="0" borderId="19" xfId="0" applyNumberFormat="1" applyFill="1" applyBorder="1" applyAlignment="1">
      <alignment vertical="center" wrapText="1"/>
    </xf>
    <xf numFmtId="0" fontId="0" fillId="2" borderId="20" xfId="0" applyFill="1" applyBorder="1" applyAlignment="1">
      <alignment vertical="center" wrapText="1"/>
    </xf>
    <xf numFmtId="0" fontId="0" fillId="2" borderId="21" xfId="0" applyFill="1" applyBorder="1" applyAlignment="1">
      <alignment vertical="center" wrapText="1"/>
    </xf>
    <xf numFmtId="0" fontId="0" fillId="2" borderId="22" xfId="0" applyFill="1" applyBorder="1" applyAlignment="1">
      <alignment vertical="center" wrapText="1"/>
    </xf>
    <xf numFmtId="2" fontId="4" fillId="0" borderId="0" xfId="0" applyNumberFormat="1" applyFont="1" applyFill="1" applyBorder="1"/>
    <xf numFmtId="0" fontId="0" fillId="0" borderId="8" xfId="0" applyBorder="1"/>
    <xf numFmtId="1" fontId="0" fillId="0" borderId="8" xfId="0" applyNumberFormat="1" applyBorder="1"/>
    <xf numFmtId="0" fontId="0" fillId="0" borderId="12" xfId="0" applyBorder="1" applyAlignment="1">
      <alignment wrapText="1"/>
    </xf>
    <xf numFmtId="9" fontId="0" fillId="0" borderId="13" xfId="1" applyNumberFormat="1" applyFont="1" applyBorder="1"/>
    <xf numFmtId="0" fontId="0" fillId="0" borderId="14" xfId="0" applyBorder="1" applyAlignment="1">
      <alignment wrapText="1"/>
    </xf>
    <xf numFmtId="0" fontId="0" fillId="0" borderId="15" xfId="0" applyFill="1" applyBorder="1"/>
    <xf numFmtId="0" fontId="0" fillId="0" borderId="15" xfId="0" applyBorder="1"/>
    <xf numFmtId="1" fontId="0" fillId="0" borderId="15" xfId="0" applyNumberFormat="1" applyBorder="1"/>
    <xf numFmtId="9" fontId="0" fillId="0" borderId="16" xfId="1" applyNumberFormat="1" applyFont="1" applyBorder="1"/>
    <xf numFmtId="0" fontId="0" fillId="0" borderId="17" xfId="0" applyBorder="1" applyAlignment="1">
      <alignment wrapText="1"/>
    </xf>
    <xf numFmtId="0" fontId="0" fillId="0" borderId="18" xfId="0" applyBorder="1"/>
    <xf numFmtId="1" fontId="0" fillId="0" borderId="18" xfId="0" applyNumberFormat="1" applyBorder="1"/>
    <xf numFmtId="9" fontId="0" fillId="0" borderId="19" xfId="1" applyNumberFormat="1" applyFont="1" applyBorder="1"/>
    <xf numFmtId="0" fontId="1" fillId="2" borderId="14" xfId="0" applyFont="1" applyFill="1" applyBorder="1"/>
    <xf numFmtId="0" fontId="1" fillId="2" borderId="15" xfId="0" applyFont="1" applyFill="1" applyBorder="1"/>
    <xf numFmtId="0" fontId="1" fillId="2" borderId="16" xfId="0" applyFont="1" applyFill="1" applyBorder="1"/>
    <xf numFmtId="0" fontId="0" fillId="0" borderId="12" xfId="0" applyBorder="1"/>
    <xf numFmtId="0" fontId="0" fillId="0" borderId="14" xfId="0" applyBorder="1"/>
    <xf numFmtId="0" fontId="0" fillId="0" borderId="14" xfId="0" applyFill="1" applyBorder="1"/>
    <xf numFmtId="0" fontId="0" fillId="0" borderId="14" xfId="0" applyFill="1" applyBorder="1" applyAlignment="1">
      <alignment wrapText="1"/>
    </xf>
    <xf numFmtId="0" fontId="0" fillId="0" borderId="17" xfId="0" applyBorder="1"/>
    <xf numFmtId="164" fontId="0" fillId="3" borderId="32" xfId="0" applyNumberFormat="1" applyFill="1" applyBorder="1" applyAlignment="1">
      <alignment vertical="center" wrapText="1"/>
    </xf>
    <xf numFmtId="0" fontId="0" fillId="3" borderId="0" xfId="0" applyFill="1"/>
    <xf numFmtId="0" fontId="0" fillId="3" borderId="2" xfId="0" applyFill="1" applyBorder="1" applyAlignment="1">
      <alignment vertical="center" wrapText="1"/>
    </xf>
    <xf numFmtId="2" fontId="0" fillId="3" borderId="1" xfId="0" applyNumberFormat="1" applyFill="1" applyBorder="1" applyAlignment="1">
      <alignment vertical="center" wrapText="1"/>
    </xf>
    <xf numFmtId="1" fontId="4" fillId="3" borderId="1" xfId="0" applyNumberFormat="1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2" fontId="4" fillId="3" borderId="1" xfId="0" applyNumberFormat="1" applyFont="1" applyFill="1" applyBorder="1" applyAlignment="1">
      <alignment vertical="center" wrapText="1"/>
    </xf>
    <xf numFmtId="0" fontId="0" fillId="3" borderId="0" xfId="0" applyFill="1" applyBorder="1" applyAlignment="1">
      <alignment vertical="center" wrapText="1"/>
    </xf>
    <xf numFmtId="0" fontId="0" fillId="3" borderId="30" xfId="0" applyFill="1" applyBorder="1" applyAlignment="1">
      <alignment vertical="center" wrapText="1"/>
    </xf>
    <xf numFmtId="164" fontId="0" fillId="3" borderId="31" xfId="0" applyNumberFormat="1" applyFill="1" applyBorder="1" applyAlignment="1">
      <alignment vertical="center" wrapText="1"/>
    </xf>
    <xf numFmtId="164" fontId="4" fillId="3" borderId="32" xfId="0" applyNumberFormat="1" applyFont="1" applyFill="1" applyBorder="1" applyAlignment="1">
      <alignment vertical="center" wrapText="1"/>
    </xf>
    <xf numFmtId="0" fontId="4" fillId="3" borderId="0" xfId="0" applyFont="1" applyFill="1"/>
    <xf numFmtId="0" fontId="4" fillId="3" borderId="30" xfId="0" applyFont="1" applyFill="1" applyBorder="1" applyAlignment="1">
      <alignment vertical="center" wrapText="1"/>
    </xf>
    <xf numFmtId="0" fontId="0" fillId="3" borderId="33" xfId="0" applyFill="1" applyBorder="1" applyAlignment="1">
      <alignment vertical="center" wrapText="1"/>
    </xf>
    <xf numFmtId="164" fontId="0" fillId="3" borderId="34" xfId="0" applyNumberFormat="1" applyFill="1" applyBorder="1" applyAlignment="1">
      <alignment vertical="center" wrapText="1"/>
    </xf>
    <xf numFmtId="1" fontId="0" fillId="3" borderId="34" xfId="0" applyNumberFormat="1" applyFill="1" applyBorder="1" applyAlignment="1">
      <alignment vertical="center" wrapText="1"/>
    </xf>
    <xf numFmtId="2" fontId="0" fillId="3" borderId="34" xfId="0" applyNumberFormat="1" applyFill="1" applyBorder="1" applyAlignment="1">
      <alignment vertical="center" wrapText="1"/>
    </xf>
    <xf numFmtId="164" fontId="0" fillId="3" borderId="35" xfId="0" applyNumberFormat="1" applyFill="1" applyBorder="1" applyAlignment="1">
      <alignment vertical="center" wrapText="1"/>
    </xf>
    <xf numFmtId="0" fontId="0" fillId="3" borderId="36" xfId="0" applyFill="1" applyBorder="1" applyAlignment="1">
      <alignment vertical="center" wrapText="1"/>
    </xf>
    <xf numFmtId="164" fontId="0" fillId="3" borderId="5" xfId="0" applyNumberFormat="1" applyFill="1" applyBorder="1" applyAlignment="1">
      <alignment vertical="center" wrapText="1"/>
    </xf>
    <xf numFmtId="1" fontId="0" fillId="3" borderId="5" xfId="0" applyNumberFormat="1" applyFill="1" applyBorder="1" applyAlignment="1">
      <alignment vertical="center" wrapText="1"/>
    </xf>
    <xf numFmtId="2" fontId="0" fillId="3" borderId="5" xfId="0" applyNumberFormat="1" applyFill="1" applyBorder="1" applyAlignment="1">
      <alignment vertical="center" wrapText="1"/>
    </xf>
    <xf numFmtId="0" fontId="0" fillId="2" borderId="37" xfId="0" applyFill="1" applyBorder="1" applyAlignment="1">
      <alignment vertical="center" wrapText="1"/>
    </xf>
    <xf numFmtId="0" fontId="0" fillId="2" borderId="38" xfId="0" applyFill="1" applyBorder="1" applyAlignment="1">
      <alignment vertical="center" wrapText="1"/>
    </xf>
    <xf numFmtId="0" fontId="0" fillId="2" borderId="39" xfId="0" applyFill="1" applyBorder="1" applyAlignment="1">
      <alignment vertical="center" wrapText="1"/>
    </xf>
    <xf numFmtId="0" fontId="0" fillId="2" borderId="40" xfId="0" applyFill="1" applyBorder="1" applyAlignment="1">
      <alignment vertical="center" wrapText="1"/>
    </xf>
    <xf numFmtId="2" fontId="0" fillId="3" borderId="3" xfId="0" applyNumberFormat="1" applyFill="1" applyBorder="1" applyAlignment="1">
      <alignment vertical="center" wrapText="1"/>
    </xf>
    <xf numFmtId="164" fontId="0" fillId="3" borderId="4" xfId="0" applyNumberFormat="1" applyFill="1" applyBorder="1" applyAlignment="1">
      <alignment vertical="center" wrapText="1"/>
    </xf>
    <xf numFmtId="164" fontId="0" fillId="3" borderId="41" xfId="0" applyNumberFormat="1" applyFill="1" applyBorder="1" applyAlignment="1">
      <alignment vertical="center" wrapText="1"/>
    </xf>
    <xf numFmtId="1" fontId="0" fillId="3" borderId="0" xfId="0" applyNumberFormat="1" applyFill="1" applyBorder="1"/>
    <xf numFmtId="164" fontId="0" fillId="3" borderId="26" xfId="0" applyNumberFormat="1" applyFill="1" applyBorder="1"/>
    <xf numFmtId="0" fontId="0" fillId="3" borderId="6" xfId="0" applyFill="1" applyBorder="1" applyAlignment="1">
      <alignment vertical="center" wrapText="1"/>
    </xf>
    <xf numFmtId="0" fontId="0" fillId="2" borderId="42" xfId="0" applyFill="1" applyBorder="1" applyAlignment="1">
      <alignment vertical="center" wrapText="1"/>
    </xf>
    <xf numFmtId="0" fontId="0" fillId="2" borderId="43" xfId="0" applyFill="1" applyBorder="1" applyAlignment="1">
      <alignment vertical="center" wrapText="1"/>
    </xf>
    <xf numFmtId="0" fontId="0" fillId="3" borderId="23" xfId="0" applyFill="1" applyBorder="1" applyAlignment="1">
      <alignment vertical="center" wrapText="1"/>
    </xf>
    <xf numFmtId="0" fontId="0" fillId="3" borderId="24" xfId="0" applyFill="1" applyBorder="1" applyAlignment="1">
      <alignment vertical="center" wrapText="1"/>
    </xf>
    <xf numFmtId="0" fontId="0" fillId="3" borderId="25" xfId="0" applyFill="1" applyBorder="1" applyAlignment="1">
      <alignment vertical="center" wrapText="1"/>
    </xf>
    <xf numFmtId="0" fontId="0" fillId="3" borderId="26" xfId="0" applyFill="1" applyBorder="1" applyAlignment="1">
      <alignment vertical="center" wrapText="1"/>
    </xf>
    <xf numFmtId="0" fontId="0" fillId="3" borderId="27" xfId="0" applyFill="1" applyBorder="1" applyAlignment="1">
      <alignment vertical="center" wrapText="1"/>
    </xf>
    <xf numFmtId="0" fontId="0" fillId="3" borderId="28" xfId="0" applyFill="1" applyBorder="1" applyAlignment="1">
      <alignment vertical="center" wrapText="1"/>
    </xf>
    <xf numFmtId="0" fontId="0" fillId="3" borderId="29" xfId="0" applyFill="1" applyBorder="1" applyAlignment="1">
      <alignment vertical="center" wrapText="1"/>
    </xf>
    <xf numFmtId="0" fontId="1" fillId="3" borderId="0" xfId="0" applyFont="1" applyFill="1"/>
    <xf numFmtId="0" fontId="0" fillId="3" borderId="12" xfId="0" applyFill="1" applyBorder="1"/>
    <xf numFmtId="0" fontId="0" fillId="3" borderId="14" xfId="0" applyFill="1" applyBorder="1"/>
    <xf numFmtId="0" fontId="0" fillId="3" borderId="17" xfId="0" applyFill="1" applyBorder="1"/>
    <xf numFmtId="0" fontId="1" fillId="2" borderId="20" xfId="0" applyFont="1" applyFill="1" applyBorder="1"/>
    <xf numFmtId="0" fontId="0" fillId="2" borderId="21" xfId="0" applyFill="1" applyBorder="1"/>
    <xf numFmtId="0" fontId="0" fillId="2" borderId="22" xfId="0" applyFill="1" applyBorder="1"/>
    <xf numFmtId="2" fontId="0" fillId="3" borderId="18" xfId="0" applyNumberFormat="1" applyFill="1" applyBorder="1" applyAlignment="1">
      <alignment horizontal="right"/>
    </xf>
    <xf numFmtId="2" fontId="0" fillId="4" borderId="18" xfId="0" applyNumberFormat="1" applyFill="1" applyBorder="1" applyAlignment="1">
      <alignment horizontal="right"/>
    </xf>
    <xf numFmtId="2" fontId="0" fillId="4" borderId="19" xfId="0" applyNumberFormat="1" applyFill="1" applyBorder="1" applyAlignment="1">
      <alignment horizontal="right"/>
    </xf>
    <xf numFmtId="2" fontId="0" fillId="3" borderId="8" xfId="0" applyNumberFormat="1" applyFill="1" applyBorder="1" applyAlignment="1">
      <alignment horizontal="right"/>
    </xf>
    <xf numFmtId="2" fontId="0" fillId="4" borderId="8" xfId="0" applyNumberFormat="1" applyFill="1" applyBorder="1" applyAlignment="1">
      <alignment horizontal="right"/>
    </xf>
    <xf numFmtId="2" fontId="0" fillId="4" borderId="13" xfId="0" applyNumberFormat="1" applyFill="1" applyBorder="1" applyAlignment="1">
      <alignment horizontal="right"/>
    </xf>
    <xf numFmtId="2" fontId="0" fillId="3" borderId="15" xfId="0" applyNumberFormat="1" applyFill="1" applyBorder="1" applyAlignment="1">
      <alignment horizontal="right"/>
    </xf>
    <xf numFmtId="2" fontId="0" fillId="3" borderId="16" xfId="0" applyNumberFormat="1" applyFill="1" applyBorder="1" applyAlignment="1">
      <alignment horizontal="right"/>
    </xf>
    <xf numFmtId="0" fontId="0" fillId="4" borderId="18" xfId="0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3" borderId="8" xfId="0" applyFill="1" applyBorder="1" applyAlignment="1">
      <alignment horizontal="right"/>
    </xf>
    <xf numFmtId="0" fontId="0" fillId="4" borderId="8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</cellXfs>
  <cellStyles count="2">
    <cellStyle name="Prozent" xfId="1" builtinId="5"/>
    <cellStyle name="Standard" xfId="0" builtinId="0"/>
  </cellStyles>
  <dxfs count="3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r>
              <a:rPr lang="de-DE"/>
              <a:t>State of the fuze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Helvetica" panose="020B0604020202020204" pitchFamily="34" charset="0"/>
              <a:ea typeface="+mn-ea"/>
              <a:cs typeface="Helvetica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Ref>
              <c:f>'6. Distributions'!$B$28:$B$31</c:f>
              <c:strCache>
                <c:ptCount val="4"/>
                <c:pt idx="0">
                  <c:v>0
Confirmed No Fuze</c:v>
                </c:pt>
                <c:pt idx="1">
                  <c:v>1
Assumed No Fuze</c:v>
                </c:pt>
                <c:pt idx="2">
                  <c:v>2
Mixed</c:v>
                </c:pt>
                <c:pt idx="3">
                  <c:v>3
Fuzed</c:v>
                </c:pt>
              </c:strCache>
            </c:strRef>
          </c:cat>
          <c:val>
            <c:numRef>
              <c:f>'6. Distributions'!$E$28:$E$31</c:f>
              <c:numCache>
                <c:formatCode>0</c:formatCode>
                <c:ptCount val="4"/>
                <c:pt idx="0" formatCode="General">
                  <c:v>1</c:v>
                </c:pt>
                <c:pt idx="1">
                  <c:v>37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53-4AB7-AE30-8285E112D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-21"/>
        <c:axId val="472637104"/>
        <c:axId val="472636120"/>
      </c:barChart>
      <c:catAx>
        <c:axId val="4726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472636120"/>
        <c:crosses val="autoZero"/>
        <c:auto val="1"/>
        <c:lblAlgn val="ctr"/>
        <c:lblOffset val="100"/>
        <c:noMultiLvlLbl val="0"/>
      </c:catAx>
      <c:valAx>
        <c:axId val="47263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Helvetica" panose="020B0604020202020204" pitchFamily="34" charset="0"/>
                    <a:ea typeface="+mn-ea"/>
                    <a:cs typeface="Helvetica" panose="020B0604020202020204" pitchFamily="34" charset="0"/>
                  </a:defRPr>
                </a:pPr>
                <a:r>
                  <a:rPr lang="de-DE"/>
                  <a:t>Nubmer of Piles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Helvetica" panose="020B0604020202020204" pitchFamily="34" charset="0"/>
                  <a:ea typeface="+mn-ea"/>
                  <a:cs typeface="Helvetica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Helvetica" panose="020B0604020202020204" pitchFamily="34" charset="0"/>
                <a:ea typeface="+mn-ea"/>
                <a:cs typeface="Helvetica" panose="020B0604020202020204" pitchFamily="34" charset="0"/>
              </a:defRPr>
            </a:pPr>
            <a:endParaRPr lang="de-DE"/>
          </a:p>
        </c:txPr>
        <c:crossAx val="47263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Helvetica" panose="020B0604020202020204" pitchFamily="34" charset="0"/>
          <a:cs typeface="Helvetica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Haffkrug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'1. Dataset B'!$U$1</c:f>
              <c:strCache>
                <c:ptCount val="1"/>
                <c:pt idx="0">
                  <c:v>Area [m²]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2.996591724538894E-2"/>
                  <c:y val="0.116231082231501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de-DE"/>
                </a:p>
              </c:txPr>
            </c:trendlineLbl>
          </c:trendline>
          <c:xVal>
            <c:numRef>
              <c:f>'1. Dataset B'!$U$2:$U$11</c:f>
              <c:numCache>
                <c:formatCode>General</c:formatCode>
                <c:ptCount val="10"/>
                <c:pt idx="0">
                  <c:v>263.416</c:v>
                </c:pt>
                <c:pt idx="1">
                  <c:v>77.251000000000005</c:v>
                </c:pt>
                <c:pt idx="2">
                  <c:v>129.16200000000001</c:v>
                </c:pt>
                <c:pt idx="3">
                  <c:v>47.404000000000003</c:v>
                </c:pt>
                <c:pt idx="4">
                  <c:v>181.05600000000001</c:v>
                </c:pt>
                <c:pt idx="5">
                  <c:v>440.17</c:v>
                </c:pt>
                <c:pt idx="6">
                  <c:v>289.721</c:v>
                </c:pt>
                <c:pt idx="7">
                  <c:v>1259.02</c:v>
                </c:pt>
                <c:pt idx="8">
                  <c:v>293.60700000000003</c:v>
                </c:pt>
                <c:pt idx="9">
                  <c:v>70.168999999999997</c:v>
                </c:pt>
              </c:numCache>
            </c:numRef>
          </c:xVal>
          <c:yVal>
            <c:numRef>
              <c:f>'1. Dataset B'!$E$2:$E$11</c:f>
              <c:numCache>
                <c:formatCode>0.00</c:formatCode>
                <c:ptCount val="10"/>
                <c:pt idx="0">
                  <c:v>664</c:v>
                </c:pt>
                <c:pt idx="1">
                  <c:v>178.33333333333334</c:v>
                </c:pt>
                <c:pt idx="2">
                  <c:v>383.66666666666669</c:v>
                </c:pt>
                <c:pt idx="3">
                  <c:v>165.33333333333334</c:v>
                </c:pt>
                <c:pt idx="4">
                  <c:v>432</c:v>
                </c:pt>
                <c:pt idx="5">
                  <c:v>498.66666666666669</c:v>
                </c:pt>
                <c:pt idx="6">
                  <c:v>443.66666666666669</c:v>
                </c:pt>
                <c:pt idx="7">
                  <c:v>552.66666666666663</c:v>
                </c:pt>
                <c:pt idx="8">
                  <c:v>592.33333333333337</c:v>
                </c:pt>
                <c:pt idx="9">
                  <c:v>258.33333333333331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CC-4D11-9954-A044309FC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207496"/>
        <c:axId val="528209136"/>
      </c:scatterChart>
      <c:valAx>
        <c:axId val="52820749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209136"/>
        <c:crosses val="autoZero"/>
        <c:crossBetween val="midCat"/>
      </c:valAx>
      <c:valAx>
        <c:axId val="5282091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Objects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207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All piles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'1. Dataset B'!$U$1</c:f>
              <c:strCache>
                <c:ptCount val="1"/>
                <c:pt idx="0">
                  <c:v>Area [m²]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layout>
                <c:manualLayout>
                  <c:x val="2.996591724538894E-2"/>
                  <c:y val="0.116231082231501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de-DE"/>
                </a:p>
              </c:txPr>
            </c:trendlineLbl>
          </c:trendline>
          <c:xVal>
            <c:numRef>
              <c:f>'1. Dataset B'!$U$2:$U$40</c:f>
              <c:numCache>
                <c:formatCode>General</c:formatCode>
                <c:ptCount val="39"/>
                <c:pt idx="0">
                  <c:v>263.416</c:v>
                </c:pt>
                <c:pt idx="1">
                  <c:v>77.251000000000005</c:v>
                </c:pt>
                <c:pt idx="2">
                  <c:v>129.16200000000001</c:v>
                </c:pt>
                <c:pt idx="3">
                  <c:v>47.404000000000003</c:v>
                </c:pt>
                <c:pt idx="4">
                  <c:v>181.05600000000001</c:v>
                </c:pt>
                <c:pt idx="5">
                  <c:v>440.17</c:v>
                </c:pt>
                <c:pt idx="6">
                  <c:v>289.721</c:v>
                </c:pt>
                <c:pt idx="7">
                  <c:v>1259.02</c:v>
                </c:pt>
                <c:pt idx="8">
                  <c:v>293.60700000000003</c:v>
                </c:pt>
                <c:pt idx="9">
                  <c:v>70.168999999999997</c:v>
                </c:pt>
                <c:pt idx="10">
                  <c:v>1361.06</c:v>
                </c:pt>
                <c:pt idx="11">
                  <c:v>112.57299999999999</c:v>
                </c:pt>
                <c:pt idx="12">
                  <c:v>125.467</c:v>
                </c:pt>
                <c:pt idx="13">
                  <c:v>200.67699999999999</c:v>
                </c:pt>
                <c:pt idx="14">
                  <c:v>316.55099999999999</c:v>
                </c:pt>
                <c:pt idx="15">
                  <c:v>338.58300000000003</c:v>
                </c:pt>
                <c:pt idx="16">
                  <c:v>354.41199999999998</c:v>
                </c:pt>
                <c:pt idx="17">
                  <c:v>21.617999999999999</c:v>
                </c:pt>
                <c:pt idx="18">
                  <c:v>63.540999999999997</c:v>
                </c:pt>
                <c:pt idx="19">
                  <c:v>23.384</c:v>
                </c:pt>
                <c:pt idx="20">
                  <c:v>33.156999999999996</c:v>
                </c:pt>
                <c:pt idx="21">
                  <c:v>298.13499999999999</c:v>
                </c:pt>
                <c:pt idx="22">
                  <c:v>73.427000000000007</c:v>
                </c:pt>
                <c:pt idx="23">
                  <c:v>33.494</c:v>
                </c:pt>
                <c:pt idx="24">
                  <c:v>103.566</c:v>
                </c:pt>
                <c:pt idx="25">
                  <c:v>147.08099999999999</c:v>
                </c:pt>
                <c:pt idx="26">
                  <c:v>236.732</c:v>
                </c:pt>
                <c:pt idx="27">
                  <c:v>187.714</c:v>
                </c:pt>
                <c:pt idx="28">
                  <c:v>125.85</c:v>
                </c:pt>
                <c:pt idx="29">
                  <c:v>326.51100000000002</c:v>
                </c:pt>
                <c:pt idx="30">
                  <c:v>155.73699999999999</c:v>
                </c:pt>
                <c:pt idx="31">
                  <c:v>209.58600000000001</c:v>
                </c:pt>
                <c:pt idx="32">
                  <c:v>1078.6279999999999</c:v>
                </c:pt>
                <c:pt idx="33">
                  <c:v>230.19399999999999</c:v>
                </c:pt>
                <c:pt idx="34">
                  <c:v>353.60500000000002</c:v>
                </c:pt>
                <c:pt idx="35">
                  <c:v>94.762</c:v>
                </c:pt>
                <c:pt idx="36">
                  <c:v>84.701999999999998</c:v>
                </c:pt>
                <c:pt idx="37">
                  <c:v>182.245</c:v>
                </c:pt>
                <c:pt idx="38">
                  <c:v>418.291</c:v>
                </c:pt>
              </c:numCache>
            </c:numRef>
          </c:xVal>
          <c:yVal>
            <c:numRef>
              <c:f>'1. Dataset B'!$E$2:$E$40</c:f>
              <c:numCache>
                <c:formatCode>0.00</c:formatCode>
                <c:ptCount val="39"/>
                <c:pt idx="0">
                  <c:v>664</c:v>
                </c:pt>
                <c:pt idx="1">
                  <c:v>178.33333333333334</c:v>
                </c:pt>
                <c:pt idx="2">
                  <c:v>383.66666666666669</c:v>
                </c:pt>
                <c:pt idx="3">
                  <c:v>165.33333333333334</c:v>
                </c:pt>
                <c:pt idx="4">
                  <c:v>432</c:v>
                </c:pt>
                <c:pt idx="5">
                  <c:v>498.66666666666669</c:v>
                </c:pt>
                <c:pt idx="6">
                  <c:v>443.66666666666669</c:v>
                </c:pt>
                <c:pt idx="7">
                  <c:v>552.66666666666663</c:v>
                </c:pt>
                <c:pt idx="8">
                  <c:v>592.33333333333337</c:v>
                </c:pt>
                <c:pt idx="9">
                  <c:v>258.33333333333331</c:v>
                </c:pt>
                <c:pt idx="10">
                  <c:v>227.16666666666666</c:v>
                </c:pt>
                <c:pt idx="11">
                  <c:v>40.833333333333336</c:v>
                </c:pt>
                <c:pt idx="12">
                  <c:v>114</c:v>
                </c:pt>
                <c:pt idx="13">
                  <c:v>355.66666666666669</c:v>
                </c:pt>
                <c:pt idx="14">
                  <c:v>230.33333333333334</c:v>
                </c:pt>
                <c:pt idx="15">
                  <c:v>488</c:v>
                </c:pt>
                <c:pt idx="16">
                  <c:v>202</c:v>
                </c:pt>
                <c:pt idx="17">
                  <c:v>9.3333333333333339</c:v>
                </c:pt>
                <c:pt idx="18">
                  <c:v>15.5</c:v>
                </c:pt>
                <c:pt idx="19">
                  <c:v>3</c:v>
                </c:pt>
                <c:pt idx="20">
                  <c:v>7.666666666666667</c:v>
                </c:pt>
                <c:pt idx="21">
                  <c:v>229</c:v>
                </c:pt>
                <c:pt idx="22">
                  <c:v>29.333333333333332</c:v>
                </c:pt>
                <c:pt idx="23">
                  <c:v>27</c:v>
                </c:pt>
                <c:pt idx="24">
                  <c:v>9.6666666666666661</c:v>
                </c:pt>
                <c:pt idx="25">
                  <c:v>53.333333333333336</c:v>
                </c:pt>
                <c:pt idx="26">
                  <c:v>53.333333333333336</c:v>
                </c:pt>
                <c:pt idx="27">
                  <c:v>31.333333333333332</c:v>
                </c:pt>
                <c:pt idx="28">
                  <c:v>41.333333333333336</c:v>
                </c:pt>
                <c:pt idx="29">
                  <c:v>38.666666666666664</c:v>
                </c:pt>
                <c:pt idx="30">
                  <c:v>32.333333333333336</c:v>
                </c:pt>
                <c:pt idx="31">
                  <c:v>238.33333333333334</c:v>
                </c:pt>
                <c:pt idx="32">
                  <c:v>3978</c:v>
                </c:pt>
                <c:pt idx="33">
                  <c:v>84</c:v>
                </c:pt>
                <c:pt idx="34">
                  <c:v>346</c:v>
                </c:pt>
                <c:pt idx="35">
                  <c:v>22.333333333333332</c:v>
                </c:pt>
                <c:pt idx="36">
                  <c:v>55</c:v>
                </c:pt>
                <c:pt idx="37">
                  <c:v>6</c:v>
                </c:pt>
                <c:pt idx="38">
                  <c:v>71.333333333333329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A98-40BE-A009-BA336B176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207496"/>
        <c:axId val="528209136"/>
      </c:scatterChart>
      <c:valAx>
        <c:axId val="52820749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209136"/>
        <c:crosses val="autoZero"/>
        <c:crossBetween val="midCat"/>
      </c:valAx>
      <c:valAx>
        <c:axId val="5282091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Objects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207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 (a) Variability of the pile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47D8044-9639-4A51-A5A7-6F9C797EDC16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960-47A7-9ACD-0646F211BD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CBFA929-CC32-4990-8243-AC560373DBC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960-47A7-9ACD-0646F211BD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44D0B2-1E65-4AF3-9A92-11F8C852D8F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960-47A7-9ACD-0646F211BD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DB448A7-DEC5-479A-B356-19BB1AEA669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960-47A7-9ACD-0646F211BD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DB99689-3164-4B95-938C-DF07D13F547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E960-47A7-9ACD-0646F211BD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'6. Distributions'!$B$4:$B$8</c:f>
              <c:strCache>
                <c:ptCount val="5"/>
                <c:pt idx="0">
                  <c:v>0
None</c:v>
                </c:pt>
                <c:pt idx="1">
                  <c:v>1
Very Weak</c:v>
                </c:pt>
                <c:pt idx="2">
                  <c:v>2
Weak</c:v>
                </c:pt>
                <c:pt idx="3">
                  <c:v>3
Medium</c:v>
                </c:pt>
                <c:pt idx="4">
                  <c:v>4
Strong</c:v>
                </c:pt>
              </c:strCache>
            </c:strRef>
          </c:cat>
          <c:val>
            <c:numRef>
              <c:f>'6. Distributions'!$E$4:$E$8</c:f>
              <c:numCache>
                <c:formatCode>0</c:formatCode>
                <c:ptCount val="5"/>
                <c:pt idx="0">
                  <c:v>2</c:v>
                </c:pt>
                <c:pt idx="1">
                  <c:v>12</c:v>
                </c:pt>
                <c:pt idx="2">
                  <c:v>17</c:v>
                </c:pt>
                <c:pt idx="3">
                  <c:v>5</c:v>
                </c:pt>
                <c:pt idx="4">
                  <c:v>3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Distributions'!$F$4:$F$8</c15:f>
                <c15:dlblRangeCache>
                  <c:ptCount val="5"/>
                  <c:pt idx="0">
                    <c:v>5%</c:v>
                  </c:pt>
                  <c:pt idx="1">
                    <c:v>31%</c:v>
                  </c:pt>
                  <c:pt idx="2">
                    <c:v>44%</c:v>
                  </c:pt>
                  <c:pt idx="3">
                    <c:v>13%</c:v>
                  </c:pt>
                  <c:pt idx="4">
                    <c:v>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515-49AB-B44F-6156869348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-21"/>
        <c:axId val="472637104"/>
        <c:axId val="472636120"/>
      </c:barChart>
      <c:catAx>
        <c:axId val="4726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6120"/>
        <c:crosses val="autoZero"/>
        <c:auto val="1"/>
        <c:lblAlgn val="ctr"/>
        <c:lblOffset val="100"/>
        <c:noMultiLvlLbl val="0"/>
      </c:catAx>
      <c:valAx>
        <c:axId val="47263612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Piles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(b) Layering of objects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F54DE52E-FAB9-4C64-B5B1-68A920D9922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B49-4465-AFDB-7AECEC640E7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2FBB6FA-EEFD-4F3B-8682-0DF155D835D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B49-4465-AFDB-7AECEC640E7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75FB3B9D-DAD4-45E5-972B-799D0B44AC1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B49-4465-AFDB-7AECEC640E7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FF17908-4566-451F-9B1B-1D5352BA54B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B49-4465-AFDB-7AECEC640E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'6. Distributions'!$B$21:$B$24</c:f>
              <c:strCache>
                <c:ptCount val="4"/>
                <c:pt idx="0">
                  <c:v>0
None</c:v>
                </c:pt>
                <c:pt idx="1">
                  <c:v>1
Weak</c:v>
                </c:pt>
                <c:pt idx="2">
                  <c:v>2
Medium</c:v>
                </c:pt>
                <c:pt idx="3">
                  <c:v>3
Strong</c:v>
                </c:pt>
              </c:strCache>
            </c:strRef>
          </c:cat>
          <c:val>
            <c:numRef>
              <c:f>'6. Distributions'!$E$21:$E$24</c:f>
              <c:numCache>
                <c:formatCode>General</c:formatCode>
                <c:ptCount val="4"/>
                <c:pt idx="0">
                  <c:v>3</c:v>
                </c:pt>
                <c:pt idx="1">
                  <c:v>11</c:v>
                </c:pt>
                <c:pt idx="2">
                  <c:v>19</c:v>
                </c:pt>
                <c:pt idx="3">
                  <c:v>6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Distributions'!$F$21:$F$24</c15:f>
                <c15:dlblRangeCache>
                  <c:ptCount val="4"/>
                  <c:pt idx="0">
                    <c:v>8%</c:v>
                  </c:pt>
                  <c:pt idx="1">
                    <c:v>28%</c:v>
                  </c:pt>
                  <c:pt idx="2">
                    <c:v>49%</c:v>
                  </c:pt>
                  <c:pt idx="3">
                    <c:v>15%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369-4B71-8273-D8565A759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-21"/>
        <c:axId val="472637104"/>
        <c:axId val="472636120"/>
      </c:barChart>
      <c:catAx>
        <c:axId val="4726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6120"/>
        <c:crosses val="autoZero"/>
        <c:auto val="1"/>
        <c:lblAlgn val="ctr"/>
        <c:lblOffset val="100"/>
        <c:noMultiLvlLbl val="0"/>
      </c:catAx>
      <c:valAx>
        <c:axId val="472636120"/>
        <c:scaling>
          <c:orientation val="minMax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Piles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(c)</a:t>
            </a:r>
            <a:r>
              <a:rPr lang="de-DE" baseline="0"/>
              <a:t> </a:t>
            </a:r>
            <a:r>
              <a:rPr lang="de-DE"/>
              <a:t>State of corrosion of the casing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D566693A-C0CD-47F6-8F08-7AC0C4093F81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8D14-4DFB-9A79-E89E753BD66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9817CFB-E41E-4139-9434-E991DE80517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8D14-4DFB-9A79-E89E753BD66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CFAECF2-F920-4940-998B-F8B3ADCC5AB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8D14-4DFB-9A79-E89E753BD66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08338CD-FC17-4FA0-97B6-A424FB5CB80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D14-4DFB-9A79-E89E753BD66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7A84CD4-AB78-4641-A10A-B3387702F01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D14-4DFB-9A79-E89E753BD66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61D8313-05AD-4DDB-944A-5AC11FC7381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D14-4DFB-9A79-E89E753BD6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'6. Distributions'!$B$53:$B$58</c:f>
              <c:strCache>
                <c:ptCount val="6"/>
                <c:pt idx="0">
                  <c:v>0
None</c:v>
                </c:pt>
                <c:pt idx="1">
                  <c:v>1
Very weak</c:v>
                </c:pt>
                <c:pt idx="2">
                  <c:v>2
Weak</c:v>
                </c:pt>
                <c:pt idx="3">
                  <c:v>3
Medium</c:v>
                </c:pt>
                <c:pt idx="4">
                  <c:v>4
Strong</c:v>
                </c:pt>
                <c:pt idx="5">
                  <c:v>5
Complete</c:v>
                </c:pt>
              </c:strCache>
            </c:strRef>
          </c:cat>
          <c:val>
            <c:numRef>
              <c:f>'6. Distributions'!$E$53:$E$58</c:f>
              <c:numCache>
                <c:formatCode>0</c:formatCode>
                <c:ptCount val="6"/>
                <c:pt idx="0">
                  <c:v>0</c:v>
                </c:pt>
                <c:pt idx="1">
                  <c:v>6</c:v>
                </c:pt>
                <c:pt idx="2">
                  <c:v>24</c:v>
                </c:pt>
                <c:pt idx="3">
                  <c:v>7</c:v>
                </c:pt>
                <c:pt idx="4">
                  <c:v>2</c:v>
                </c:pt>
                <c:pt idx="5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Distributions'!$F$53:$F$58</c15:f>
                <c15:dlblRangeCache>
                  <c:ptCount val="6"/>
                  <c:pt idx="0">
                    <c:v>0%</c:v>
                  </c:pt>
                  <c:pt idx="1">
                    <c:v>15%</c:v>
                  </c:pt>
                  <c:pt idx="2">
                    <c:v>62%</c:v>
                  </c:pt>
                  <c:pt idx="3">
                    <c:v>18%</c:v>
                  </c:pt>
                  <c:pt idx="4">
                    <c:v>5%</c:v>
                  </c:pt>
                  <c:pt idx="5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2E4E-4BE3-9B66-2CB8D87B160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"/>
        <c:overlap val="-21"/>
        <c:axId val="472637104"/>
        <c:axId val="472636120"/>
      </c:barChart>
      <c:catAx>
        <c:axId val="4726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6120"/>
        <c:crosses val="autoZero"/>
        <c:auto val="1"/>
        <c:lblAlgn val="ctr"/>
        <c:lblOffset val="100"/>
        <c:noMultiLvlLbl val="0"/>
      </c:catAx>
      <c:valAx>
        <c:axId val="472636120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Piles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(d)</a:t>
            </a:r>
            <a:r>
              <a:rPr lang="de-DE" baseline="0"/>
              <a:t> </a:t>
            </a:r>
            <a:r>
              <a:rPr lang="de-DE"/>
              <a:t>Burial state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283B2A92-233A-4AAA-BC28-212804EB564E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C5C-446F-A6BF-1AF385BEE99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25A08A94-D6EC-41D8-B627-FA3A3DFAF31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1C5C-446F-A6BF-1AF385BEE99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F91A7D7-A388-493E-97C9-F93FF2533D3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1C5C-446F-A6BF-1AF385BEE99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8B6F0D1-D45E-45C0-AA36-81E6F42039E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C5C-446F-A6BF-1AF385BEE99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90DA12A-60AE-4536-A598-4BF8E453F21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C5C-446F-A6BF-1AF385BEE99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'6. Distributions'!$B$62:$B$66</c:f>
              <c:strCache>
                <c:ptCount val="5"/>
                <c:pt idx="0">
                  <c:v>0
None</c:v>
                </c:pt>
                <c:pt idx="1">
                  <c:v>1
Slightly</c:v>
                </c:pt>
                <c:pt idx="2">
                  <c:v>2
Medium</c:v>
                </c:pt>
                <c:pt idx="3">
                  <c:v>3
Strongly</c:v>
                </c:pt>
                <c:pt idx="4">
                  <c:v>4
Completely</c:v>
                </c:pt>
              </c:strCache>
            </c:strRef>
          </c:cat>
          <c:val>
            <c:numRef>
              <c:f>'6. Distributions'!$E$62:$E$66</c:f>
              <c:numCache>
                <c:formatCode>0</c:formatCode>
                <c:ptCount val="5"/>
                <c:pt idx="0" formatCode="General">
                  <c:v>0</c:v>
                </c:pt>
                <c:pt idx="1">
                  <c:v>2</c:v>
                </c:pt>
                <c:pt idx="2">
                  <c:v>31</c:v>
                </c:pt>
                <c:pt idx="3">
                  <c:v>6</c:v>
                </c:pt>
                <c:pt idx="4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Distributions'!$F$62:$F$66</c15:f>
                <c15:dlblRangeCache>
                  <c:ptCount val="5"/>
                  <c:pt idx="0">
                    <c:v>0%</c:v>
                  </c:pt>
                  <c:pt idx="1">
                    <c:v>5%</c:v>
                  </c:pt>
                  <c:pt idx="2">
                    <c:v>79%</c:v>
                  </c:pt>
                  <c:pt idx="3">
                    <c:v>15%</c:v>
                  </c:pt>
                  <c:pt idx="4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327-4FC0-8C8E-3FB423720B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"/>
        <c:overlap val="-21"/>
        <c:axId val="472637104"/>
        <c:axId val="472636120"/>
      </c:barChart>
      <c:catAx>
        <c:axId val="4726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6120"/>
        <c:crosses val="autoZero"/>
        <c:auto val="1"/>
        <c:lblAlgn val="ctr"/>
        <c:lblOffset val="100"/>
        <c:noMultiLvlLbl val="0"/>
      </c:catAx>
      <c:valAx>
        <c:axId val="47263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Piles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(e) Largest object size [m]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 Distributions'!$B$33:$E$33</c:f>
              <c:strCache>
                <c:ptCount val="1"/>
                <c:pt idx="0">
                  <c:v>Largest object size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A91921E1-DD2A-4EF3-BEDC-03F319517DAB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02E-4596-A06F-4CD0AC9BCC3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0E984F4-A594-4523-B3BF-D20BED93149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02E-4596-A06F-4CD0AC9BCC3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74D7E5D-5BEC-4574-98C7-A64DBF35520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02E-4596-A06F-4CD0AC9BCC3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4CC2682-98ED-4228-BED2-6F1569E4755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102E-4596-A06F-4CD0AC9BCC3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4C7413E-28E2-4EF2-B1D4-33A04573372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102E-4596-A06F-4CD0AC9BCC3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1FCF4AA-FA52-4B59-8856-1C7B6DCC4F3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102E-4596-A06F-4CD0AC9BCC3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'6. Distributions'!$B$35:$B$40</c:f>
              <c:strCache>
                <c:ptCount val="6"/>
                <c:pt idx="0">
                  <c:v>(0.25, 0.50]</c:v>
                </c:pt>
                <c:pt idx="1">
                  <c:v>(0.50, 0.75]</c:v>
                </c:pt>
                <c:pt idx="2">
                  <c:v>(0.75, 1.00]</c:v>
                </c:pt>
                <c:pt idx="3">
                  <c:v>(1.00, 1.25]</c:v>
                </c:pt>
                <c:pt idx="4">
                  <c:v>(1.25, 1.50]</c:v>
                </c:pt>
                <c:pt idx="5">
                  <c:v>&gt; 1.50</c:v>
                </c:pt>
              </c:strCache>
            </c:strRef>
          </c:cat>
          <c:val>
            <c:numRef>
              <c:f>'6. Distributions'!$E$35:$E$40</c:f>
              <c:numCache>
                <c:formatCode>0</c:formatCode>
                <c:ptCount val="6"/>
                <c:pt idx="0">
                  <c:v>1</c:v>
                </c:pt>
                <c:pt idx="1">
                  <c:v>3</c:v>
                </c:pt>
                <c:pt idx="2">
                  <c:v>7</c:v>
                </c:pt>
                <c:pt idx="3">
                  <c:v>14</c:v>
                </c:pt>
                <c:pt idx="4">
                  <c:v>10</c:v>
                </c:pt>
                <c:pt idx="5" formatCode="General">
                  <c:v>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Distributions'!$F$35:$F$40</c15:f>
                <c15:dlblRangeCache>
                  <c:ptCount val="6"/>
                  <c:pt idx="0">
                    <c:v>3%</c:v>
                  </c:pt>
                  <c:pt idx="1">
                    <c:v>8%</c:v>
                  </c:pt>
                  <c:pt idx="2">
                    <c:v>18%</c:v>
                  </c:pt>
                  <c:pt idx="3">
                    <c:v>36%</c:v>
                  </c:pt>
                  <c:pt idx="4">
                    <c:v>26%</c:v>
                  </c:pt>
                  <c:pt idx="5">
                    <c:v>10%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ADC-4EE8-BD58-A0EDC118C6C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5"/>
        <c:axId val="472637104"/>
        <c:axId val="472636120"/>
      </c:barChart>
      <c:catAx>
        <c:axId val="4726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6120"/>
        <c:crosses val="autoZero"/>
        <c:auto val="1"/>
        <c:lblAlgn val="ctr"/>
        <c:lblOffset val="100"/>
        <c:noMultiLvlLbl val="0"/>
      </c:catAx>
      <c:valAx>
        <c:axId val="472636120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Piles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710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(f) Median object size [m]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'6. Distributions'!$B$42:$E$42</c:f>
              <c:strCache>
                <c:ptCount val="1"/>
                <c:pt idx="0">
                  <c:v>Median object size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E3957B32-0D3E-4A19-B891-4C08C3B0C0BC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C5F-4BAE-BFC6-DC5183A7363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C36C892-E6DE-4630-A99A-66AB9A37380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C5F-4BAE-BFC6-DC5183A7363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147ED10-C185-4B07-B747-C46535870C9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C5F-4BAE-BFC6-DC5183A7363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65EDC86-0833-4544-8701-103E2621FEB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C5F-4BAE-BFC6-DC5183A7363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BE298B9-73B8-40CF-9B71-D30627CC6F5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C5F-4BAE-BFC6-DC5183A7363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65CD6BB-5BDC-4B8E-A014-3A0BB558FB1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C5F-4BAE-BFC6-DC5183A7363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'6. Distributions'!$B$44:$B$49</c:f>
              <c:strCache>
                <c:ptCount val="6"/>
                <c:pt idx="0">
                  <c:v>(0.25, 0.50]</c:v>
                </c:pt>
                <c:pt idx="1">
                  <c:v>(0.50, 0.75]</c:v>
                </c:pt>
                <c:pt idx="2">
                  <c:v>(0.75, 1.00]</c:v>
                </c:pt>
                <c:pt idx="3">
                  <c:v>(1.00, 1.25]</c:v>
                </c:pt>
                <c:pt idx="4">
                  <c:v>(1.25, 1.50]</c:v>
                </c:pt>
                <c:pt idx="5">
                  <c:v>&gt; 1.50</c:v>
                </c:pt>
              </c:strCache>
            </c:strRef>
          </c:cat>
          <c:val>
            <c:numRef>
              <c:f>'6. Distributions'!$E$44:$E$49</c:f>
              <c:numCache>
                <c:formatCode>0</c:formatCode>
                <c:ptCount val="6"/>
                <c:pt idx="0">
                  <c:v>9</c:v>
                </c:pt>
                <c:pt idx="1">
                  <c:v>10</c:v>
                </c:pt>
                <c:pt idx="2">
                  <c:v>7</c:v>
                </c:pt>
                <c:pt idx="3">
                  <c:v>12</c:v>
                </c:pt>
                <c:pt idx="4">
                  <c:v>1</c:v>
                </c:pt>
                <c:pt idx="5" formatCode="General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Distributions'!$F$44:$F$49</c15:f>
                <c15:dlblRangeCache>
                  <c:ptCount val="6"/>
                  <c:pt idx="0">
                    <c:v>23%</c:v>
                  </c:pt>
                  <c:pt idx="1">
                    <c:v>26%</c:v>
                  </c:pt>
                  <c:pt idx="2">
                    <c:v>18%</c:v>
                  </c:pt>
                  <c:pt idx="3">
                    <c:v>31%</c:v>
                  </c:pt>
                  <c:pt idx="4">
                    <c:v>3%</c:v>
                  </c:pt>
                  <c:pt idx="5">
                    <c:v>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5962-4F76-95AA-B7A766776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472637104"/>
        <c:axId val="472636120"/>
      </c:barChart>
      <c:catAx>
        <c:axId val="4726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6120"/>
        <c:crosses val="autoZero"/>
        <c:auto val="1"/>
        <c:lblAlgn val="ctr"/>
        <c:lblOffset val="100"/>
        <c:noMultiLvlLbl val="0"/>
      </c:catAx>
      <c:valAx>
        <c:axId val="472636120"/>
        <c:scaling>
          <c:orientation val="minMax"/>
          <c:max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Piles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7104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(g) Number of objects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'6. Distributions'!$B$10:$E$10</c:f>
              <c:strCache>
                <c:ptCount val="1"/>
                <c:pt idx="0">
                  <c:v>Number of objects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5B72D6D6-9E7D-46A7-A31D-D9E16DD501B0}" type="CELLRANGE">
                      <a:rPr lang="en-US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52D-4A84-ABD4-A0BE077AB53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F098D927-BACA-40E3-8658-C0D7206EBD4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952D-4A84-ABD4-A0BE077AB53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418C7C3-8F2B-4846-9267-3AC365EF999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952D-4A84-ABD4-A0BE077AB53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BBF63E8-5D14-441A-8744-8F57EEDE878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952D-4A84-ABD4-A0BE077AB539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94287D5-F895-43C4-9719-BDE8486A868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952D-4A84-ABD4-A0BE077AB53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9A38244-E782-4D52-A739-EE02B6DCF9E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952D-4A84-ABD4-A0BE077AB5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strRef>
              <c:f>'6. Distributions'!$B$12:$B$17</c:f>
              <c:strCache>
                <c:ptCount val="6"/>
                <c:pt idx="0">
                  <c:v>(1, 100]</c:v>
                </c:pt>
                <c:pt idx="1">
                  <c:v>(100, 200]</c:v>
                </c:pt>
                <c:pt idx="2">
                  <c:v>(200, 300]</c:v>
                </c:pt>
                <c:pt idx="3">
                  <c:v>(300, 400]</c:v>
                </c:pt>
                <c:pt idx="4">
                  <c:v>(400, 500]</c:v>
                </c:pt>
                <c:pt idx="5">
                  <c:v>&gt; 600</c:v>
                </c:pt>
              </c:strCache>
            </c:strRef>
          </c:cat>
          <c:val>
            <c:numRef>
              <c:f>'6. Distributions'!$E$12:$E$17</c:f>
              <c:numCache>
                <c:formatCode>0</c:formatCode>
                <c:ptCount val="6"/>
                <c:pt idx="0" formatCode="General">
                  <c:v>19</c:v>
                </c:pt>
                <c:pt idx="1">
                  <c:v>3</c:v>
                </c:pt>
                <c:pt idx="2">
                  <c:v>6</c:v>
                </c:pt>
                <c:pt idx="3">
                  <c:v>3</c:v>
                </c:pt>
                <c:pt idx="4">
                  <c:v>4</c:v>
                </c:pt>
                <c:pt idx="5" formatCode="General">
                  <c:v>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'6. Distributions'!$F$12:$F$17</c15:f>
                <c15:dlblRangeCache>
                  <c:ptCount val="6"/>
                  <c:pt idx="0">
                    <c:v>49%</c:v>
                  </c:pt>
                  <c:pt idx="1">
                    <c:v>8%</c:v>
                  </c:pt>
                  <c:pt idx="2">
                    <c:v>15%</c:v>
                  </c:pt>
                  <c:pt idx="3">
                    <c:v>8%</c:v>
                  </c:pt>
                  <c:pt idx="4">
                    <c:v>10%</c:v>
                  </c:pt>
                  <c:pt idx="5">
                    <c:v>10%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952D-4A84-ABD4-A0BE077AB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axId val="472637104"/>
        <c:axId val="472636120"/>
      </c:barChart>
      <c:catAx>
        <c:axId val="47263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6120"/>
        <c:crosses val="autoZero"/>
        <c:auto val="1"/>
        <c:lblAlgn val="ctr"/>
        <c:lblOffset val="100"/>
        <c:noMultiLvlLbl val="0"/>
      </c:catAx>
      <c:valAx>
        <c:axId val="472636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Piles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472637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de-DE"/>
              <a:t>Pelzerhaken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'1. Dataset B'!$U$1</c:f>
              <c:strCache>
                <c:ptCount val="1"/>
                <c:pt idx="0">
                  <c:v>Area [m²]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powe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de-DE"/>
                </a:p>
              </c:txPr>
            </c:trendlineLbl>
          </c:trendline>
          <c:xVal>
            <c:numRef>
              <c:f>'1. Dataset B'!$U$13:$U$40</c:f>
              <c:numCache>
                <c:formatCode>General</c:formatCode>
                <c:ptCount val="28"/>
                <c:pt idx="0">
                  <c:v>112.57299999999999</c:v>
                </c:pt>
                <c:pt idx="1">
                  <c:v>125.467</c:v>
                </c:pt>
                <c:pt idx="2">
                  <c:v>200.67699999999999</c:v>
                </c:pt>
                <c:pt idx="3">
                  <c:v>316.55099999999999</c:v>
                </c:pt>
                <c:pt idx="4">
                  <c:v>338.58300000000003</c:v>
                </c:pt>
                <c:pt idx="5">
                  <c:v>354.41199999999998</c:v>
                </c:pt>
                <c:pt idx="6">
                  <c:v>21.617999999999999</c:v>
                </c:pt>
                <c:pt idx="7">
                  <c:v>63.540999999999997</c:v>
                </c:pt>
                <c:pt idx="8">
                  <c:v>23.384</c:v>
                </c:pt>
                <c:pt idx="9">
                  <c:v>33.156999999999996</c:v>
                </c:pt>
                <c:pt idx="10">
                  <c:v>298.13499999999999</c:v>
                </c:pt>
                <c:pt idx="11">
                  <c:v>73.427000000000007</c:v>
                </c:pt>
                <c:pt idx="12">
                  <c:v>33.494</c:v>
                </c:pt>
                <c:pt idx="13">
                  <c:v>103.566</c:v>
                </c:pt>
                <c:pt idx="14">
                  <c:v>147.08099999999999</c:v>
                </c:pt>
                <c:pt idx="15">
                  <c:v>236.732</c:v>
                </c:pt>
                <c:pt idx="16">
                  <c:v>187.714</c:v>
                </c:pt>
                <c:pt idx="17">
                  <c:v>125.85</c:v>
                </c:pt>
                <c:pt idx="18">
                  <c:v>326.51100000000002</c:v>
                </c:pt>
                <c:pt idx="19">
                  <c:v>155.73699999999999</c:v>
                </c:pt>
                <c:pt idx="20">
                  <c:v>209.58600000000001</c:v>
                </c:pt>
                <c:pt idx="21">
                  <c:v>1078.6279999999999</c:v>
                </c:pt>
                <c:pt idx="22">
                  <c:v>230.19399999999999</c:v>
                </c:pt>
                <c:pt idx="23">
                  <c:v>353.60500000000002</c:v>
                </c:pt>
                <c:pt idx="24">
                  <c:v>94.762</c:v>
                </c:pt>
                <c:pt idx="25">
                  <c:v>84.701999999999998</c:v>
                </c:pt>
                <c:pt idx="26">
                  <c:v>182.245</c:v>
                </c:pt>
                <c:pt idx="27">
                  <c:v>418.291</c:v>
                </c:pt>
              </c:numCache>
            </c:numRef>
          </c:xVal>
          <c:yVal>
            <c:numRef>
              <c:f>'1. Dataset B'!$E$13:$E$40</c:f>
              <c:numCache>
                <c:formatCode>0.00</c:formatCode>
                <c:ptCount val="28"/>
                <c:pt idx="0">
                  <c:v>40.833333333333336</c:v>
                </c:pt>
                <c:pt idx="1">
                  <c:v>114</c:v>
                </c:pt>
                <c:pt idx="2">
                  <c:v>355.66666666666669</c:v>
                </c:pt>
                <c:pt idx="3">
                  <c:v>230.33333333333334</c:v>
                </c:pt>
                <c:pt idx="4">
                  <c:v>488</c:v>
                </c:pt>
                <c:pt idx="5">
                  <c:v>202</c:v>
                </c:pt>
                <c:pt idx="6">
                  <c:v>9.3333333333333339</c:v>
                </c:pt>
                <c:pt idx="7">
                  <c:v>15.5</c:v>
                </c:pt>
                <c:pt idx="8">
                  <c:v>3</c:v>
                </c:pt>
                <c:pt idx="9">
                  <c:v>7.666666666666667</c:v>
                </c:pt>
                <c:pt idx="10">
                  <c:v>229</c:v>
                </c:pt>
                <c:pt idx="11">
                  <c:v>29.333333333333332</c:v>
                </c:pt>
                <c:pt idx="12">
                  <c:v>27</c:v>
                </c:pt>
                <c:pt idx="13">
                  <c:v>9.6666666666666661</c:v>
                </c:pt>
                <c:pt idx="14">
                  <c:v>53.333333333333336</c:v>
                </c:pt>
                <c:pt idx="15">
                  <c:v>53.333333333333336</c:v>
                </c:pt>
                <c:pt idx="16">
                  <c:v>31.333333333333332</c:v>
                </c:pt>
                <c:pt idx="17">
                  <c:v>41.333333333333336</c:v>
                </c:pt>
                <c:pt idx="18">
                  <c:v>38.666666666666664</c:v>
                </c:pt>
                <c:pt idx="19">
                  <c:v>32.333333333333336</c:v>
                </c:pt>
                <c:pt idx="20">
                  <c:v>238.33333333333334</c:v>
                </c:pt>
                <c:pt idx="21">
                  <c:v>3978</c:v>
                </c:pt>
                <c:pt idx="22">
                  <c:v>84</c:v>
                </c:pt>
                <c:pt idx="23">
                  <c:v>346</c:v>
                </c:pt>
                <c:pt idx="24">
                  <c:v>22.333333333333332</c:v>
                </c:pt>
                <c:pt idx="25">
                  <c:v>55</c:v>
                </c:pt>
                <c:pt idx="26">
                  <c:v>6</c:v>
                </c:pt>
                <c:pt idx="27">
                  <c:v>71.333333333333329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F6-4402-8086-44640B9F0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8207496"/>
        <c:axId val="528209136"/>
      </c:scatterChart>
      <c:valAx>
        <c:axId val="528207496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209136"/>
        <c:crosses val="autoZero"/>
        <c:crossBetween val="midCat"/>
      </c:valAx>
      <c:valAx>
        <c:axId val="52820913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/>
                  <a:t>Number of Objects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528207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762000</xdr:colOff>
      <xdr:row>38</xdr:row>
      <xdr:rowOff>152399</xdr:rowOff>
    </xdr:from>
    <xdr:to>
      <xdr:col>15</xdr:col>
      <xdr:colOff>494057</xdr:colOff>
      <xdr:row>50</xdr:row>
      <xdr:rowOff>37285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17422510-E78C-46C5-9011-0C5266E20D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3</xdr:row>
      <xdr:rowOff>1</xdr:rowOff>
    </xdr:from>
    <xdr:to>
      <xdr:col>12</xdr:col>
      <xdr:colOff>526715</xdr:colOff>
      <xdr:row>9</xdr:row>
      <xdr:rowOff>113487</xdr:rowOff>
    </xdr:to>
    <xdr:graphicFrame macro="">
      <xdr:nvGraphicFramePr>
        <xdr:cNvPr id="18" name="Diagramm 17">
          <a:extLst>
            <a:ext uri="{FF2B5EF4-FFF2-40B4-BE49-F238E27FC236}">
              <a16:creationId xmlns:a16="http://schemas.microsoft.com/office/drawing/2014/main" id="{66768CA4-80A0-4B71-93B5-D080559882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14152</xdr:colOff>
      <xdr:row>3</xdr:row>
      <xdr:rowOff>14697</xdr:rowOff>
    </xdr:from>
    <xdr:to>
      <xdr:col>18</xdr:col>
      <xdr:colOff>540866</xdr:colOff>
      <xdr:row>9</xdr:row>
      <xdr:rowOff>128183</xdr:rowOff>
    </xdr:to>
    <xdr:graphicFrame macro="">
      <xdr:nvGraphicFramePr>
        <xdr:cNvPr id="19" name="Diagramm 18">
          <a:extLst>
            <a:ext uri="{FF2B5EF4-FFF2-40B4-BE49-F238E27FC236}">
              <a16:creationId xmlns:a16="http://schemas.microsoft.com/office/drawing/2014/main" id="{EC877345-AA5F-4D7B-93D1-0F897229B9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3265</xdr:colOff>
      <xdr:row>10</xdr:row>
      <xdr:rowOff>3810</xdr:rowOff>
    </xdr:from>
    <xdr:to>
      <xdr:col>12</xdr:col>
      <xdr:colOff>529980</xdr:colOff>
      <xdr:row>20</xdr:row>
      <xdr:rowOff>269695</xdr:rowOff>
    </xdr:to>
    <xdr:graphicFrame macro="">
      <xdr:nvGraphicFramePr>
        <xdr:cNvPr id="20" name="Diagramm 19">
          <a:extLst>
            <a:ext uri="{FF2B5EF4-FFF2-40B4-BE49-F238E27FC236}">
              <a16:creationId xmlns:a16="http://schemas.microsoft.com/office/drawing/2014/main" id="{BD0F4E95-8CB4-45BB-8B34-837BAEF1F4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15240</xdr:colOff>
      <xdr:row>10</xdr:row>
      <xdr:rowOff>5988</xdr:rowOff>
    </xdr:from>
    <xdr:to>
      <xdr:col>18</xdr:col>
      <xdr:colOff>541954</xdr:colOff>
      <xdr:row>20</xdr:row>
      <xdr:rowOff>271873</xdr:rowOff>
    </xdr:to>
    <xdr:graphicFrame macro="">
      <xdr:nvGraphicFramePr>
        <xdr:cNvPr id="21" name="Diagramm 20">
          <a:extLst>
            <a:ext uri="{FF2B5EF4-FFF2-40B4-BE49-F238E27FC236}">
              <a16:creationId xmlns:a16="http://schemas.microsoft.com/office/drawing/2014/main" id="{86486864-B534-4D41-B14C-7135646EBA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3267</xdr:colOff>
      <xdr:row>21</xdr:row>
      <xdr:rowOff>14699</xdr:rowOff>
    </xdr:from>
    <xdr:to>
      <xdr:col>12</xdr:col>
      <xdr:colOff>529982</xdr:colOff>
      <xdr:row>28</xdr:row>
      <xdr:rowOff>117299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447A395F-EBC2-4EA7-B5AA-C725E32E2A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14152</xdr:colOff>
      <xdr:row>21</xdr:row>
      <xdr:rowOff>3812</xdr:rowOff>
    </xdr:from>
    <xdr:to>
      <xdr:col>18</xdr:col>
      <xdr:colOff>540866</xdr:colOff>
      <xdr:row>28</xdr:row>
      <xdr:rowOff>106412</xdr:rowOff>
    </xdr:to>
    <xdr:graphicFrame macro="">
      <xdr:nvGraphicFramePr>
        <xdr:cNvPr id="23" name="Diagramm 22">
          <a:extLst>
            <a:ext uri="{FF2B5EF4-FFF2-40B4-BE49-F238E27FC236}">
              <a16:creationId xmlns:a16="http://schemas.microsoft.com/office/drawing/2014/main" id="{3FF4F5E7-F57C-4BB3-B3B5-FE4360CE57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761999</xdr:colOff>
      <xdr:row>28</xdr:row>
      <xdr:rowOff>272140</xdr:rowOff>
    </xdr:from>
    <xdr:to>
      <xdr:col>15</xdr:col>
      <xdr:colOff>494056</xdr:colOff>
      <xdr:row>38</xdr:row>
      <xdr:rowOff>4626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8E31C04D-AEA4-491C-844F-CF1795FD14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794656</xdr:colOff>
      <xdr:row>33</xdr:row>
      <xdr:rowOff>184929</xdr:rowOff>
    </xdr:from>
    <xdr:to>
      <xdr:col>6</xdr:col>
      <xdr:colOff>526713</xdr:colOff>
      <xdr:row>49</xdr:row>
      <xdr:rowOff>104015</xdr:rowOff>
    </xdr:to>
    <xdr:graphicFrame macro="">
      <xdr:nvGraphicFramePr>
        <xdr:cNvPr id="6" name="Diagramm 5">
          <a:extLst>
            <a:ext uri="{FF2B5EF4-FFF2-40B4-BE49-F238E27FC236}">
              <a16:creationId xmlns:a16="http://schemas.microsoft.com/office/drawing/2014/main" id="{1D2579CC-DE67-4553-A9B5-0B4AF836C1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5420</xdr:colOff>
      <xdr:row>17</xdr:row>
      <xdr:rowOff>79631</xdr:rowOff>
    </xdr:from>
    <xdr:to>
      <xdr:col>6</xdr:col>
      <xdr:colOff>532134</xdr:colOff>
      <xdr:row>32</xdr:row>
      <xdr:rowOff>183774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FA0042C5-C06C-4897-9334-D8CC3431A3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1345</xdr:colOff>
      <xdr:row>0</xdr:row>
      <xdr:rowOff>179613</xdr:rowOff>
    </xdr:from>
    <xdr:to>
      <xdr:col>6</xdr:col>
      <xdr:colOff>528059</xdr:colOff>
      <xdr:row>16</xdr:row>
      <xdr:rowOff>98699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B4D0C484-922D-45AF-BC7E-426E346D2C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EA1BD-5CEF-45CE-83AF-46663E7AD390}">
  <dimension ref="A1:Y112"/>
  <sheetViews>
    <sheetView tabSelected="1" defaultGridColor="0" colorId="9" zoomScale="55" zoomScaleNormal="55" workbookViewId="0">
      <pane xSplit="2" ySplit="1" topLeftCell="C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0" defaultRowHeight="14.4" zeroHeight="1" x14ac:dyDescent="0.3"/>
  <cols>
    <col min="1" max="1" width="11.5546875" customWidth="1"/>
    <col min="2" max="2" width="43.44140625" customWidth="1"/>
    <col min="3" max="25" width="11.5546875" customWidth="1"/>
    <col min="26" max="16384" width="11.5546875" hidden="1"/>
  </cols>
  <sheetData>
    <row r="1" spans="2:24" s="4" customFormat="1" ht="88.8" customHeight="1" thickBot="1" x14ac:dyDescent="0.35">
      <c r="B1" s="44" t="s">
        <v>0</v>
      </c>
      <c r="C1" s="45" t="s">
        <v>142</v>
      </c>
      <c r="D1" s="45" t="s">
        <v>150</v>
      </c>
      <c r="E1" s="45" t="s">
        <v>105</v>
      </c>
      <c r="F1" s="45" t="s">
        <v>149</v>
      </c>
      <c r="G1" s="45" t="s">
        <v>151</v>
      </c>
      <c r="H1" s="45" t="s">
        <v>152</v>
      </c>
      <c r="I1" s="45" t="s">
        <v>141</v>
      </c>
      <c r="J1" s="45" t="s">
        <v>153</v>
      </c>
      <c r="K1" s="45" t="s">
        <v>140</v>
      </c>
      <c r="L1" s="45" t="s">
        <v>154</v>
      </c>
      <c r="M1" s="45" t="s">
        <v>161</v>
      </c>
      <c r="N1" s="45" t="s">
        <v>155</v>
      </c>
      <c r="O1" s="45" t="s">
        <v>162</v>
      </c>
      <c r="P1" s="45" t="s">
        <v>156</v>
      </c>
      <c r="Q1" s="45" t="s">
        <v>143</v>
      </c>
      <c r="R1" s="45" t="s">
        <v>157</v>
      </c>
      <c r="S1" s="45" t="s">
        <v>102</v>
      </c>
      <c r="T1" s="45" t="s">
        <v>158</v>
      </c>
      <c r="U1" s="45" t="s">
        <v>159</v>
      </c>
      <c r="V1" s="45" t="s">
        <v>160</v>
      </c>
      <c r="W1" s="45" t="s">
        <v>163</v>
      </c>
      <c r="X1" s="46" t="s">
        <v>164</v>
      </c>
    </row>
    <row r="2" spans="2:24" s="4" customFormat="1" x14ac:dyDescent="0.3">
      <c r="B2" s="38" t="s">
        <v>32</v>
      </c>
      <c r="C2" s="39">
        <f>AVERAGE('2. Expert 1'!C3, '3. Expert 2'!C3, '4. Expert 3'!C3, '5. Expert 4'!C3)</f>
        <v>1.8333333333333335</v>
      </c>
      <c r="D2" s="40">
        <f>_xlfn.RANK.EQ(C2, (C$2:C$11, C$13:C$40), 1)</f>
        <v>22</v>
      </c>
      <c r="E2" s="39">
        <f>AVERAGE('2. Expert 1'!D3, '3. Expert 2'!D3, '4. Expert 3'!D3)</f>
        <v>664</v>
      </c>
      <c r="F2" s="40">
        <f>_xlfn.RANK.EQ(E2, (E$2:E$11, E$13:E$40), 1)</f>
        <v>37</v>
      </c>
      <c r="G2" s="39">
        <f t="shared" ref="G2:G11" si="0">42.409 * (E2 ^0.4157)</f>
        <v>631.87809848667086</v>
      </c>
      <c r="H2" s="41">
        <f t="shared" ref="H2:H11" si="1">LN(E2) - LN(G2)</f>
        <v>4.9585656075072038E-2</v>
      </c>
      <c r="I2" s="39">
        <f>AVERAGE('2. Expert 1'!E3, '3. Expert 2'!E3, '4. Expert 3'!E3, '5. Expert 4'!D3)</f>
        <v>2.25</v>
      </c>
      <c r="J2" s="40">
        <f>_xlfn.RANK.EQ(I2, (I$2:I$11, I$13:I$40), 1)</f>
        <v>29</v>
      </c>
      <c r="K2" s="39">
        <v>0</v>
      </c>
      <c r="L2" s="40">
        <f>_xlfn.RANK.EQ(K2, (K$2:K$11, K$13:K$40), 1)</f>
        <v>1</v>
      </c>
      <c r="M2" s="39">
        <f>AVERAGE('2. Expert 1'!G3, '3. Expert 2'!G3, '4. Expert 3'!G3)</f>
        <v>0.73666666666666658</v>
      </c>
      <c r="N2" s="40">
        <f>_xlfn.RANK.EQ(M2, (M$2:M$11, M$13:M$40), 1)</f>
        <v>4</v>
      </c>
      <c r="O2" s="39">
        <f>AVERAGE('2. Expert 1'!H3, '3. Expert 2'!H3, '4. Expert 3'!H3)</f>
        <v>0.54833333333333334</v>
      </c>
      <c r="P2" s="40">
        <f>_xlfn.RANK.EQ(O2, (O$2:O$11, O$13:O$40), 1)</f>
        <v>12</v>
      </c>
      <c r="Q2" s="39">
        <f>AVERAGE('2. Expert 1'!I3, '3. Expert 2'!I3, '4. Expert 3'!I3, '5. Expert 4'!F3)</f>
        <v>1.25</v>
      </c>
      <c r="R2" s="40">
        <f>_xlfn.RANK.EQ(Q2, (Q$2:Q$11, Q$13:Q$40), 1)</f>
        <v>1</v>
      </c>
      <c r="S2" s="39">
        <f>AVERAGE('2. Expert 1'!J3, '3. Expert 2'!J3, '4. Expert 3'!J3, '5. Expert 4'!G3)</f>
        <v>1.5</v>
      </c>
      <c r="T2" s="40">
        <f>_xlfn.RANK.EQ(S2, (S$2:S$11, S$13:S$40), 1)</f>
        <v>2</v>
      </c>
      <c r="U2" s="42">
        <v>263.416</v>
      </c>
      <c r="V2" s="40">
        <f>_xlfn.RANK.EQ(U2, (U$2:U$11, U$13:U$40), 1)</f>
        <v>26</v>
      </c>
      <c r="W2" s="39">
        <f t="shared" ref="W2:W40" si="2">E2/U2</f>
        <v>2.5207276703009689</v>
      </c>
      <c r="X2" s="43">
        <f>_xlfn.RANK.EQ(W2, (W$2:W$11, W$13:W$40), 1)</f>
        <v>34</v>
      </c>
    </row>
    <row r="3" spans="2:24" s="4" customFormat="1" x14ac:dyDescent="0.3">
      <c r="B3" s="28" t="s">
        <v>29</v>
      </c>
      <c r="C3" s="21">
        <f>AVERAGE('2. Expert 1'!C4, '3. Expert 2'!C4, '4. Expert 3'!C4, '5. Expert 4'!C4)</f>
        <v>1.75</v>
      </c>
      <c r="D3" s="22">
        <f>_xlfn.RANK.EQ(C3, (C$2:C$11, C$13:C$40), 1)</f>
        <v>16</v>
      </c>
      <c r="E3" s="21">
        <f>AVERAGE('2. Expert 1'!D4, '3. Expert 2'!D4, '4. Expert 3'!D4)</f>
        <v>178.33333333333334</v>
      </c>
      <c r="F3" s="22">
        <f>_xlfn.RANK.EQ(E3, (E$2:E$11, E$13:E$40), 1)</f>
        <v>22</v>
      </c>
      <c r="G3" s="21">
        <f t="shared" si="0"/>
        <v>365.84354237253552</v>
      </c>
      <c r="H3" s="23">
        <f t="shared" si="1"/>
        <v>-0.71855130392144773</v>
      </c>
      <c r="I3" s="21">
        <f>AVERAGE('2. Expert 1'!E4, '3. Expert 2'!E4, '4. Expert 3'!E4, '5. Expert 4'!D4)</f>
        <v>2.25</v>
      </c>
      <c r="J3" s="22">
        <f>_xlfn.RANK.EQ(I3, (I$2:I$11, I$13:I$40), 1)</f>
        <v>29</v>
      </c>
      <c r="K3" s="21">
        <f>AVERAGE('2. Expert 1'!F4, '3. Expert 2'!F4, '4. Expert 3'!F4, '5. Expert 4'!E4)</f>
        <v>1</v>
      </c>
      <c r="L3" s="22">
        <f>_xlfn.RANK.EQ(K3, (K$2:K$11, K$13:K$40), 1)</f>
        <v>2</v>
      </c>
      <c r="M3" s="21">
        <f>AVERAGE('2. Expert 1'!G4, '3. Expert 2'!G4, '4. Expert 3'!G4)</f>
        <v>0.57499999999999996</v>
      </c>
      <c r="N3" s="22">
        <f>_xlfn.RANK.EQ(M3, (M$2:M$11, M$13:M$40), 1)</f>
        <v>2</v>
      </c>
      <c r="O3" s="21">
        <f>AVERAGE('2. Expert 1'!H4, '3. Expert 2'!H4, '4. Expert 3'!H4)</f>
        <v>0.42499999999999999</v>
      </c>
      <c r="P3" s="22">
        <f>_xlfn.RANK.EQ(O3, (O$2:O$11, O$13:O$40), 1)</f>
        <v>7</v>
      </c>
      <c r="Q3" s="21">
        <f>AVERAGE('2. Expert 1'!I4, '3. Expert 2'!I4, '4. Expert 3'!I4, '5. Expert 4'!F4)</f>
        <v>1.5</v>
      </c>
      <c r="R3" s="22">
        <f>_xlfn.RANK.EQ(Q3, (Q$2:Q$11, Q$13:Q$40), 1)</f>
        <v>7</v>
      </c>
      <c r="S3" s="21">
        <f>AVERAGE('2. Expert 1'!J4, '3. Expert 2'!J4, '4. Expert 3'!J4, '5. Expert 4'!G4)</f>
        <v>1.75</v>
      </c>
      <c r="T3" s="22">
        <f>_xlfn.RANK.EQ(S3, (S$2:S$11, S$13:S$40), 1)</f>
        <v>5</v>
      </c>
      <c r="U3" s="20">
        <v>77.251000000000005</v>
      </c>
      <c r="V3" s="22">
        <f>_xlfn.RANK.EQ(U3, (U$2:U$11, U$13:U$40), 1)</f>
        <v>9</v>
      </c>
      <c r="W3" s="21">
        <f t="shared" si="2"/>
        <v>2.3084922309527816</v>
      </c>
      <c r="X3" s="29">
        <f>_xlfn.RANK.EQ(W3, (W$2:W$11, W$13:W$40), 1)</f>
        <v>32</v>
      </c>
    </row>
    <row r="4" spans="2:24" s="4" customFormat="1" x14ac:dyDescent="0.3">
      <c r="B4" s="28" t="s">
        <v>30</v>
      </c>
      <c r="C4" s="21">
        <f>AVERAGE('2. Expert 1'!C5, '3. Expert 2'!C5, '4. Expert 3'!C5, '5. Expert 4'!C5)</f>
        <v>2.25</v>
      </c>
      <c r="D4" s="22">
        <f>_xlfn.RANK.EQ(C4, (C$2:C$11, C$13:C$40), 1)</f>
        <v>29</v>
      </c>
      <c r="E4" s="21">
        <f>AVERAGE('2. Expert 1'!D5, '3. Expert 2'!D5, '4. Expert 3'!D5)</f>
        <v>383.66666666666669</v>
      </c>
      <c r="F4" s="22">
        <f>_xlfn.RANK.EQ(E4, (E$2:E$11, E$13:E$40), 1)</f>
        <v>30</v>
      </c>
      <c r="G4" s="21">
        <f t="shared" si="0"/>
        <v>503.04604444904095</v>
      </c>
      <c r="H4" s="23">
        <f t="shared" si="1"/>
        <v>-0.27090758551658833</v>
      </c>
      <c r="I4" s="21">
        <f>AVERAGE('2. Expert 1'!E5, '3. Expert 2'!E5, '4. Expert 3'!E5, '5. Expert 4'!D5)</f>
        <v>2.25</v>
      </c>
      <c r="J4" s="22">
        <f>_xlfn.RANK.EQ(I4, (I$2:I$11, I$13:I$40), 1)</f>
        <v>29</v>
      </c>
      <c r="K4" s="21">
        <f>AVERAGE('2. Expert 1'!F5, '3. Expert 2'!F5, '4. Expert 3'!F5, '5. Expert 4'!E5)</f>
        <v>1</v>
      </c>
      <c r="L4" s="22">
        <f>_xlfn.RANK.EQ(K4, (K$2:K$11, K$13:K$40), 1)</f>
        <v>2</v>
      </c>
      <c r="M4" s="21">
        <f>AVERAGE('2. Expert 1'!G5, '3. Expert 2'!G5, '4. Expert 3'!G5)</f>
        <v>1.6300000000000001</v>
      </c>
      <c r="N4" s="22">
        <f>_xlfn.RANK.EQ(M4, (M$2:M$11, M$13:M$40), 1)</f>
        <v>36</v>
      </c>
      <c r="O4" s="21">
        <f>AVERAGE('2. Expert 1'!H5, '3. Expert 2'!H5, '4. Expert 3'!H5)</f>
        <v>0.38</v>
      </c>
      <c r="P4" s="22">
        <f>_xlfn.RANK.EQ(O4, (O$2:O$11, O$13:O$40), 1)</f>
        <v>4</v>
      </c>
      <c r="Q4" s="21">
        <f>AVERAGE('2. Expert 1'!I5, '3. Expert 2'!I5, '4. Expert 3'!I5, '5. Expert 4'!F5)</f>
        <v>1.5</v>
      </c>
      <c r="R4" s="22">
        <f>_xlfn.RANK.EQ(Q4, (Q$2:Q$11, Q$13:Q$40), 1)</f>
        <v>7</v>
      </c>
      <c r="S4" s="21">
        <f>AVERAGE('2. Expert 1'!J5, '3. Expert 2'!J5, '4. Expert 3'!J5, '5. Expert 4'!G5)</f>
        <v>1.75</v>
      </c>
      <c r="T4" s="22">
        <f>_xlfn.RANK.EQ(S4, (S$2:S$11, S$13:S$40), 1)</f>
        <v>5</v>
      </c>
      <c r="U4" s="20">
        <v>129.16200000000001</v>
      </c>
      <c r="V4" s="22">
        <f>_xlfn.RANK.EQ(U4, (U$2:U$11, U$13:U$40), 1)</f>
        <v>16</v>
      </c>
      <c r="W4" s="21">
        <f t="shared" si="2"/>
        <v>2.9704298994028173</v>
      </c>
      <c r="X4" s="29">
        <f>_xlfn.RANK.EQ(W4, (W$2:W$11, W$13:W$40), 1)</f>
        <v>35</v>
      </c>
    </row>
    <row r="5" spans="2:24" s="4" customFormat="1" x14ac:dyDescent="0.3">
      <c r="B5" s="28" t="s">
        <v>31</v>
      </c>
      <c r="C5" s="21">
        <f>AVERAGE('2. Expert 1'!C6, '3. Expert 2'!C6, '4. Expert 3'!C6, '5. Expert 4'!C6)</f>
        <v>2</v>
      </c>
      <c r="D5" s="22">
        <f>_xlfn.RANK.EQ(C5, (C$2:C$11, C$13:C$40), 1)</f>
        <v>23</v>
      </c>
      <c r="E5" s="21">
        <f>AVERAGE('2. Expert 1'!D6, '3. Expert 2'!D6, '4. Expert 3'!D6)</f>
        <v>165.33333333333334</v>
      </c>
      <c r="F5" s="22">
        <f>_xlfn.RANK.EQ(E5, (E$2:E$11, E$13:E$40), 1)</f>
        <v>21</v>
      </c>
      <c r="G5" s="21">
        <f t="shared" si="0"/>
        <v>354.51160731128351</v>
      </c>
      <c r="H5" s="23">
        <f t="shared" si="1"/>
        <v>-0.76277745014740894</v>
      </c>
      <c r="I5" s="21">
        <f>AVERAGE('2. Expert 1'!E6, '3. Expert 2'!E6, '4. Expert 3'!E6, '5. Expert 4'!D6)</f>
        <v>2.25</v>
      </c>
      <c r="J5" s="22">
        <f>_xlfn.RANK.EQ(I5, (I$2:I$11, I$13:I$40), 1)</f>
        <v>29</v>
      </c>
      <c r="K5" s="21">
        <f>AVERAGE('2. Expert 1'!F6, '3. Expert 2'!F6, '4. Expert 3'!F6, '5. Expert 4'!E6)</f>
        <v>1</v>
      </c>
      <c r="L5" s="22">
        <f>_xlfn.RANK.EQ(K5, (K$2:K$11, K$13:K$40), 1)</f>
        <v>2</v>
      </c>
      <c r="M5" s="21">
        <f>AVERAGE('2. Expert 1'!G6, '3. Expert 2'!G6, '4. Expert 3'!G6)</f>
        <v>0.93</v>
      </c>
      <c r="N5" s="22">
        <f>_xlfn.RANK.EQ(M5, (M$2:M$11, M$13:M$40), 1)</f>
        <v>8</v>
      </c>
      <c r="O5" s="21">
        <f>AVERAGE('2. Expert 1'!H6, '3. Expert 2'!H6, '4. Expert 3'!H6)</f>
        <v>0.41500000000000004</v>
      </c>
      <c r="P5" s="22">
        <f>_xlfn.RANK.EQ(O5, (O$2:O$11, O$13:O$40), 1)</f>
        <v>6</v>
      </c>
      <c r="Q5" s="21">
        <f>AVERAGE('2. Expert 1'!I6, '3. Expert 2'!I6, '4. Expert 3'!I6, '5. Expert 4'!F6)</f>
        <v>1.5</v>
      </c>
      <c r="R5" s="22">
        <f>_xlfn.RANK.EQ(Q5, (Q$2:Q$11, Q$13:Q$40), 1)</f>
        <v>7</v>
      </c>
      <c r="S5" s="21">
        <f>AVERAGE('2. Expert 1'!J6, '3. Expert 2'!J6, '4. Expert 3'!J6, '5. Expert 4'!G6)</f>
        <v>1.75</v>
      </c>
      <c r="T5" s="22">
        <f>_xlfn.RANK.EQ(S5, (S$2:S$11, S$13:S$40), 1)</f>
        <v>5</v>
      </c>
      <c r="U5" s="20">
        <v>47.404000000000003</v>
      </c>
      <c r="V5" s="22">
        <f>_xlfn.RANK.EQ(U5, (U$2:U$11, U$13:U$40), 1)</f>
        <v>5</v>
      </c>
      <c r="W5" s="21">
        <f t="shared" si="2"/>
        <v>3.4877506820802746</v>
      </c>
      <c r="X5" s="29">
        <f>_xlfn.RANK.EQ(W5, (W$2:W$11, W$13:W$40), 1)</f>
        <v>36</v>
      </c>
    </row>
    <row r="6" spans="2:24" s="4" customFormat="1" x14ac:dyDescent="0.3">
      <c r="B6" s="28" t="s">
        <v>33</v>
      </c>
      <c r="C6" s="21">
        <f>AVERAGE('2. Expert 1'!C7, '3. Expert 2'!C7, '4. Expert 3'!C7, '5. Expert 4'!C7)</f>
        <v>2.75</v>
      </c>
      <c r="D6" s="22">
        <f>_xlfn.RANK.EQ(C6, (C$2:C$11, C$13:C$40), 1)</f>
        <v>32</v>
      </c>
      <c r="E6" s="21">
        <f>AVERAGE('2. Expert 1'!D7, '3. Expert 2'!D7, '4. Expert 3'!D7)</f>
        <v>432</v>
      </c>
      <c r="F6" s="22">
        <f>_xlfn.RANK.EQ(E6, (E$2:E$11, E$13:E$40), 1)</f>
        <v>31</v>
      </c>
      <c r="G6" s="21">
        <f t="shared" si="0"/>
        <v>528.48008416288053</v>
      </c>
      <c r="H6" s="23">
        <f t="shared" si="1"/>
        <v>-0.2015795326529739</v>
      </c>
      <c r="I6" s="21">
        <f>AVERAGE('2. Expert 1'!E7, '3. Expert 2'!E7, '4. Expert 3'!E7, '5. Expert 4'!D7)</f>
        <v>2.5</v>
      </c>
      <c r="J6" s="22">
        <f>_xlfn.RANK.EQ(I6, (I$2:I$11, I$13:I$40), 1)</f>
        <v>33</v>
      </c>
      <c r="K6" s="21">
        <f>AVERAGE('2. Expert 1'!F7, '3. Expert 2'!F7, '4. Expert 3'!F7, '5. Expert 4'!E7)</f>
        <v>1</v>
      </c>
      <c r="L6" s="22">
        <f>_xlfn.RANK.EQ(K6, (K$2:K$11, K$13:K$40), 1)</f>
        <v>2</v>
      </c>
      <c r="M6" s="21">
        <f>AVERAGE('2. Expert 1'!G7, '3. Expert 2'!G7, '4. Expert 3'!G7)</f>
        <v>1.3266666666666669</v>
      </c>
      <c r="N6" s="22">
        <f>_xlfn.RANK.EQ(M6, (M$2:M$11, M$13:M$40), 1)</f>
        <v>28</v>
      </c>
      <c r="O6" s="21">
        <f>AVERAGE('2. Expert 1'!H7, '3. Expert 2'!H7, '4. Expert 3'!H7)</f>
        <v>0.85333333333333339</v>
      </c>
      <c r="P6" s="22">
        <f>_xlfn.RANK.EQ(O6, (O$2:O$11, O$13:O$40), 1)</f>
        <v>23</v>
      </c>
      <c r="Q6" s="21">
        <f>AVERAGE('2. Expert 1'!I7, '3. Expert 2'!I7, '4. Expert 3'!I7, '5. Expert 4'!F7)</f>
        <v>1.75</v>
      </c>
      <c r="R6" s="22">
        <f>_xlfn.RANK.EQ(Q6, (Q$2:Q$11, Q$13:Q$40), 1)</f>
        <v>19</v>
      </c>
      <c r="S6" s="21">
        <f>AVERAGE('2. Expert 1'!J7, '3. Expert 2'!J7, '4. Expert 3'!J7, '5. Expert 4'!G7)</f>
        <v>1.75</v>
      </c>
      <c r="T6" s="22">
        <f>_xlfn.RANK.EQ(S6, (S$2:S$11, S$13:S$40), 1)</f>
        <v>5</v>
      </c>
      <c r="U6" s="20">
        <v>181.05600000000001</v>
      </c>
      <c r="V6" s="22">
        <f>_xlfn.RANK.EQ(U6, (U$2:U$11, U$13:U$40), 1)</f>
        <v>19</v>
      </c>
      <c r="W6" s="21">
        <f t="shared" si="2"/>
        <v>2.3860021208907738</v>
      </c>
      <c r="X6" s="29">
        <f>_xlfn.RANK.EQ(W6, (W$2:W$11, W$13:W$40), 1)</f>
        <v>33</v>
      </c>
    </row>
    <row r="7" spans="2:24" s="4" customFormat="1" x14ac:dyDescent="0.3">
      <c r="B7" s="28" t="s">
        <v>34</v>
      </c>
      <c r="C7" s="21">
        <f>AVERAGE('2. Expert 1'!C8, '3. Expert 2'!C8, '4. Expert 3'!C8, '5. Expert 4'!C8)</f>
        <v>2</v>
      </c>
      <c r="D7" s="22">
        <f>_xlfn.RANK.EQ(C7, (C$2:C$11, C$13:C$40), 1)</f>
        <v>23</v>
      </c>
      <c r="E7" s="21">
        <f>AVERAGE('2. Expert 1'!D8, '3. Expert 2'!D8, '4. Expert 3'!D8)</f>
        <v>498.66666666666669</v>
      </c>
      <c r="F7" s="22">
        <f>_xlfn.RANK.EQ(E7, (E$2:E$11, E$13:E$40), 1)</f>
        <v>34</v>
      </c>
      <c r="G7" s="21">
        <f t="shared" si="0"/>
        <v>560.9676148786898</v>
      </c>
      <c r="H7" s="23">
        <f t="shared" si="1"/>
        <v>-0.11772530650112145</v>
      </c>
      <c r="I7" s="21">
        <f>AVERAGE('2. Expert 1'!E8, '3. Expert 2'!E8, '4. Expert 3'!E8, '5. Expert 4'!D8)</f>
        <v>2</v>
      </c>
      <c r="J7" s="22">
        <f>_xlfn.RANK.EQ(I7, (I$2:I$11, I$13:I$40), 1)</f>
        <v>25</v>
      </c>
      <c r="K7" s="21">
        <f>AVERAGE('2. Expert 1'!F8, '3. Expert 2'!F8, '4. Expert 3'!F8, '5. Expert 4'!E8)</f>
        <v>1</v>
      </c>
      <c r="L7" s="22">
        <f>_xlfn.RANK.EQ(K7, (K$2:K$11, K$13:K$40), 1)</f>
        <v>2</v>
      </c>
      <c r="M7" s="21">
        <f>AVERAGE('2. Expert 1'!G8, '3. Expert 2'!G8, '4. Expert 3'!G8)</f>
        <v>0.78</v>
      </c>
      <c r="N7" s="22">
        <f>_xlfn.RANK.EQ(M7, (M$2:M$11, M$13:M$40), 1)</f>
        <v>5</v>
      </c>
      <c r="O7" s="21">
        <f>AVERAGE('2. Expert 1'!H8, '3. Expert 2'!H8, '4. Expert 3'!H8)</f>
        <v>0.51500000000000001</v>
      </c>
      <c r="P7" s="22">
        <f>_xlfn.RANK.EQ(O7, (O$2:O$11, O$13:O$40), 1)</f>
        <v>10</v>
      </c>
      <c r="Q7" s="21">
        <f>AVERAGE('2. Expert 1'!I8, '3. Expert 2'!I8, '4. Expert 3'!I8, '5. Expert 4'!F8)</f>
        <v>1.5</v>
      </c>
      <c r="R7" s="22">
        <f>_xlfn.RANK.EQ(Q7, (Q$2:Q$11, Q$13:Q$40), 1)</f>
        <v>7</v>
      </c>
      <c r="S7" s="21">
        <f>AVERAGE('2. Expert 1'!J8, '3. Expert 2'!J8, '4. Expert 3'!J8, '5. Expert 4'!G8)</f>
        <v>1.75</v>
      </c>
      <c r="T7" s="22">
        <f>_xlfn.RANK.EQ(S7, (S$2:S$11, S$13:S$40), 1)</f>
        <v>5</v>
      </c>
      <c r="U7" s="20">
        <v>440.17</v>
      </c>
      <c r="V7" s="22">
        <f>_xlfn.RANK.EQ(U7, (U$2:U$11, U$13:U$40), 1)</f>
        <v>36</v>
      </c>
      <c r="W7" s="21">
        <f t="shared" si="2"/>
        <v>1.1328956236605554</v>
      </c>
      <c r="X7" s="29">
        <f>_xlfn.RANK.EQ(W7, (W$2:W$11, W$13:W$40), 1)</f>
        <v>26</v>
      </c>
    </row>
    <row r="8" spans="2:24" s="4" customFormat="1" x14ac:dyDescent="0.3">
      <c r="B8" s="28" t="s">
        <v>35</v>
      </c>
      <c r="C8" s="21">
        <f>AVERAGE('2. Expert 1'!C9, '3. Expert 2'!C9, '4. Expert 3'!C9, '5. Expert 4'!C9)</f>
        <v>1.75</v>
      </c>
      <c r="D8" s="22">
        <f>_xlfn.RANK.EQ(C8, (C$2:C$11, C$13:C$40), 1)</f>
        <v>16</v>
      </c>
      <c r="E8" s="21">
        <f>AVERAGE('2. Expert 1'!D9, '3. Expert 2'!D9, '4. Expert 3'!D9)</f>
        <v>443.66666666666669</v>
      </c>
      <c r="F8" s="22">
        <f>_xlfn.RANK.EQ(E8, (E$2:E$11, E$13:E$40), 1)</f>
        <v>32</v>
      </c>
      <c r="G8" s="21">
        <f t="shared" si="0"/>
        <v>534.36689384949943</v>
      </c>
      <c r="H8" s="23">
        <f t="shared" si="1"/>
        <v>-0.18600914044452033</v>
      </c>
      <c r="I8" s="21">
        <f>AVERAGE('2. Expert 1'!E9, '3. Expert 2'!E9, '4. Expert 3'!E9, '5. Expert 4'!D9)</f>
        <v>2.5</v>
      </c>
      <c r="J8" s="22">
        <f>_xlfn.RANK.EQ(I8, (I$2:I$11, I$13:I$40), 1)</f>
        <v>33</v>
      </c>
      <c r="K8" s="21">
        <f>AVERAGE('2. Expert 1'!F9, '3. Expert 2'!F9, '4. Expert 3'!F9, '5. Expert 4'!E9)</f>
        <v>1</v>
      </c>
      <c r="L8" s="22">
        <f>_xlfn.RANK.EQ(K8, (K$2:K$11, K$13:K$40), 1)</f>
        <v>2</v>
      </c>
      <c r="M8" s="21">
        <f>AVERAGE('2. Expert 1'!G9, '3. Expert 2'!G9, '4. Expert 3'!G9)</f>
        <v>0.95500000000000007</v>
      </c>
      <c r="N8" s="22">
        <f>_xlfn.RANK.EQ(M8, (M$2:M$11, M$13:M$40), 1)</f>
        <v>11</v>
      </c>
      <c r="O8" s="21">
        <f>AVERAGE('2. Expert 1'!H9, '3. Expert 2'!H9, '4. Expert 3'!H9)</f>
        <v>0.625</v>
      </c>
      <c r="P8" s="22">
        <f>_xlfn.RANK.EQ(O8, (O$2:O$11, O$13:O$40), 1)</f>
        <v>16</v>
      </c>
      <c r="Q8" s="21">
        <f>AVERAGE('2. Expert 1'!I9, '3. Expert 2'!I9, '4. Expert 3'!I9, '5. Expert 4'!F9)</f>
        <v>1.5</v>
      </c>
      <c r="R8" s="22">
        <f>_xlfn.RANK.EQ(Q8, (Q$2:Q$11, Q$13:Q$40), 1)</f>
        <v>7</v>
      </c>
      <c r="S8" s="21">
        <f>AVERAGE('2. Expert 1'!J9, '3. Expert 2'!J9, '4. Expert 3'!J9, '5. Expert 4'!G9)</f>
        <v>1.75</v>
      </c>
      <c r="T8" s="22">
        <f>_xlfn.RANK.EQ(S8, (S$2:S$11, S$13:S$40), 1)</f>
        <v>5</v>
      </c>
      <c r="U8" s="20">
        <v>289.721</v>
      </c>
      <c r="V8" s="22">
        <f>_xlfn.RANK.EQ(U8, (U$2:U$11, U$13:U$40), 1)</f>
        <v>27</v>
      </c>
      <c r="W8" s="21">
        <f t="shared" si="2"/>
        <v>1.5313583297954469</v>
      </c>
      <c r="X8" s="29">
        <f>_xlfn.RANK.EQ(W8, (W$2:W$11, W$13:W$40), 1)</f>
        <v>29</v>
      </c>
    </row>
    <row r="9" spans="2:24" s="4" customFormat="1" x14ac:dyDescent="0.3">
      <c r="B9" s="28" t="s">
        <v>36</v>
      </c>
      <c r="C9" s="21">
        <f>AVERAGE('2. Expert 1'!C10, '3. Expert 2'!C10, '4. Expert 3'!C10, '5. Expert 4'!C10)</f>
        <v>3.75</v>
      </c>
      <c r="D9" s="22">
        <f>_xlfn.RANK.EQ(C9, (C$2:C$11, C$13:C$40), 1)</f>
        <v>37</v>
      </c>
      <c r="E9" s="21">
        <f>AVERAGE('2. Expert 1'!D10, '3. Expert 2'!D10, '4. Expert 3'!D10)</f>
        <v>552.66666666666663</v>
      </c>
      <c r="F9" s="22">
        <f>_xlfn.RANK.EQ(E9, (E$2:E$11, E$13:E$40), 1)</f>
        <v>35</v>
      </c>
      <c r="G9" s="21">
        <f t="shared" si="0"/>
        <v>585.46375508595781</v>
      </c>
      <c r="H9" s="23">
        <f t="shared" si="1"/>
        <v>-5.7649229886055586E-2</v>
      </c>
      <c r="I9" s="21">
        <f>AVERAGE('2. Expert 1'!E10, '3. Expert 2'!E10, '4. Expert 3'!E10, '5. Expert 4'!D10)</f>
        <v>2.5</v>
      </c>
      <c r="J9" s="22">
        <f>_xlfn.RANK.EQ(I9, (I$2:I$11, I$13:I$40), 1)</f>
        <v>33</v>
      </c>
      <c r="K9" s="21">
        <f>AVERAGE('2. Expert 1'!F10, '3. Expert 2'!F10, '4. Expert 3'!F10, '5. Expert 4'!E10)</f>
        <v>1</v>
      </c>
      <c r="L9" s="22">
        <f>_xlfn.RANK.EQ(K9, (K$2:K$11, K$13:K$40), 1)</f>
        <v>2</v>
      </c>
      <c r="M9" s="21">
        <f>AVERAGE('2. Expert 1'!G10, '3. Expert 2'!G10, '4. Expert 3'!G10)</f>
        <v>1.2566666666666668</v>
      </c>
      <c r="N9" s="22">
        <f>_xlfn.RANK.EQ(M9, (M$2:M$11, M$13:M$40), 1)</f>
        <v>26</v>
      </c>
      <c r="O9" s="21">
        <f>AVERAGE('2. Expert 1'!H10, '3. Expert 2'!H10, '4. Expert 3'!H10)</f>
        <v>0.61333333333333329</v>
      </c>
      <c r="P9" s="22">
        <f>_xlfn.RANK.EQ(O9, (O$2:O$11, O$13:O$40), 1)</f>
        <v>15</v>
      </c>
      <c r="Q9" s="21">
        <f>AVERAGE('2. Expert 1'!I10, '3. Expert 2'!I10, '4. Expert 3'!I10, '5. Expert 4'!F10)</f>
        <v>3.25</v>
      </c>
      <c r="R9" s="22">
        <f>_xlfn.RANK.EQ(Q9, (Q$2:Q$11, Q$13:Q$40), 1)</f>
        <v>35</v>
      </c>
      <c r="S9" s="21">
        <f>AVERAGE('2. Expert 1'!J10, '3. Expert 2'!J10, '4. Expert 3'!J10, '5. Expert 4'!G10)</f>
        <v>1.75</v>
      </c>
      <c r="T9" s="22">
        <f>_xlfn.RANK.EQ(S9, (S$2:S$11, S$13:S$40), 1)</f>
        <v>5</v>
      </c>
      <c r="U9" s="20">
        <v>1259.02</v>
      </c>
      <c r="V9" s="22">
        <f>_xlfn.RANK.EQ(U9, (U$2:U$11, U$13:U$40), 1)</f>
        <v>38</v>
      </c>
      <c r="W9" s="21">
        <f t="shared" si="2"/>
        <v>0.4389657564348991</v>
      </c>
      <c r="X9" s="29">
        <f>_xlfn.RANK.EQ(W9, (W$2:W$11, W$13:W$40), 1)</f>
        <v>18</v>
      </c>
    </row>
    <row r="10" spans="2:24" s="4" customFormat="1" x14ac:dyDescent="0.3">
      <c r="B10" s="28" t="s">
        <v>37</v>
      </c>
      <c r="C10" s="21">
        <f>AVERAGE('2. Expert 1'!C11, '3. Expert 2'!C11, '4. Expert 3'!C11, '5. Expert 4'!C11)</f>
        <v>2.25</v>
      </c>
      <c r="D10" s="22">
        <f>_xlfn.RANK.EQ(C10, (C$2:C$11, C$13:C$40), 1)</f>
        <v>29</v>
      </c>
      <c r="E10" s="21">
        <f>AVERAGE('2. Expert 1'!D11, '3. Expert 2'!D11, '4. Expert 3'!D11)</f>
        <v>592.33333333333337</v>
      </c>
      <c r="F10" s="22">
        <f>_xlfn.RANK.EQ(E10, (E$2:E$11, E$13:E$40), 1)</f>
        <v>36</v>
      </c>
      <c r="G10" s="21">
        <f t="shared" si="0"/>
        <v>602.5787193954892</v>
      </c>
      <c r="H10" s="23">
        <f t="shared" si="1"/>
        <v>-1.7148771942022023E-2</v>
      </c>
      <c r="I10" s="21">
        <f>AVERAGE('2. Expert 1'!E11, '3. Expert 2'!E11, '4. Expert 3'!E11, '5. Expert 4'!D11)</f>
        <v>2.5</v>
      </c>
      <c r="J10" s="22">
        <f>_xlfn.RANK.EQ(I10, (I$2:I$11, I$13:I$40), 1)</f>
        <v>33</v>
      </c>
      <c r="K10" s="21">
        <f>AVERAGE('2. Expert 1'!F11, '3. Expert 2'!F11, '4. Expert 3'!F11, '5. Expert 4'!E11)</f>
        <v>1</v>
      </c>
      <c r="L10" s="22">
        <f>_xlfn.RANK.EQ(K10, (K$2:K$11, K$13:K$40), 1)</f>
        <v>2</v>
      </c>
      <c r="M10" s="21">
        <f>AVERAGE('2. Expert 1'!G11, '3. Expert 2'!G11, '4. Expert 3'!G11)</f>
        <v>0.92500000000000004</v>
      </c>
      <c r="N10" s="22">
        <f>_xlfn.RANK.EQ(M10, (M$2:M$11, M$13:M$40), 1)</f>
        <v>7</v>
      </c>
      <c r="O10" s="21">
        <f>AVERAGE('2. Expert 1'!H11, '3. Expert 2'!H11, '4. Expert 3'!H11)</f>
        <v>0.48</v>
      </c>
      <c r="P10" s="22">
        <f>_xlfn.RANK.EQ(O10, (O$2:O$11, O$13:O$40), 1)</f>
        <v>9</v>
      </c>
      <c r="Q10" s="21">
        <f>AVERAGE('2. Expert 1'!I11, '3. Expert 2'!I11, '4. Expert 3'!I11, '5. Expert 4'!F11)</f>
        <v>2</v>
      </c>
      <c r="R10" s="22">
        <f>_xlfn.RANK.EQ(Q10, (Q$2:Q$11, Q$13:Q$40), 1)</f>
        <v>26</v>
      </c>
      <c r="S10" s="21">
        <f>AVERAGE('2. Expert 1'!J11, '3. Expert 2'!J11, '4. Expert 3'!J11, '5. Expert 4'!G11)</f>
        <v>1.75</v>
      </c>
      <c r="T10" s="22">
        <f>_xlfn.RANK.EQ(S10, (S$2:S$11, S$13:S$40), 1)</f>
        <v>5</v>
      </c>
      <c r="U10" s="20">
        <v>293.60700000000003</v>
      </c>
      <c r="V10" s="22">
        <f>_xlfn.RANK.EQ(U10, (U$2:U$11, U$13:U$40), 1)</f>
        <v>28</v>
      </c>
      <c r="W10" s="21">
        <f t="shared" si="2"/>
        <v>2.0174360057264757</v>
      </c>
      <c r="X10" s="29">
        <f>_xlfn.RANK.EQ(W10, (W$2:W$11, W$13:W$40), 1)</f>
        <v>31</v>
      </c>
    </row>
    <row r="11" spans="2:24" s="4" customFormat="1" x14ac:dyDescent="0.3">
      <c r="B11" s="28" t="s">
        <v>38</v>
      </c>
      <c r="C11" s="21">
        <f>AVERAGE('2. Expert 1'!C12, '3. Expert 2'!C12, '4. Expert 3'!C12, '5. Expert 4'!C12)</f>
        <v>2</v>
      </c>
      <c r="D11" s="22">
        <f>_xlfn.RANK.EQ(C11, (C$2:C$11, C$13:C$40), 1)</f>
        <v>23</v>
      </c>
      <c r="E11" s="21">
        <f>AVERAGE('2. Expert 1'!D12, '3. Expert 2'!D12, '4. Expert 3'!D12)</f>
        <v>258.33333333333331</v>
      </c>
      <c r="F11" s="22">
        <f>_xlfn.RANK.EQ(E11, (E$2:E$11, E$13:E$40), 1)</f>
        <v>27</v>
      </c>
      <c r="G11" s="21">
        <f t="shared" si="0"/>
        <v>426.77743027717617</v>
      </c>
      <c r="H11" s="23">
        <f t="shared" si="1"/>
        <v>-0.50201189608162355</v>
      </c>
      <c r="I11" s="21">
        <f>AVERAGE('2. Expert 1'!E12, '3. Expert 2'!E12, '4. Expert 3'!E12, '5. Expert 4'!D12)</f>
        <v>2</v>
      </c>
      <c r="J11" s="22">
        <f>_xlfn.RANK.EQ(I11, (I$2:I$11, I$13:I$40), 1)</f>
        <v>25</v>
      </c>
      <c r="K11" s="21">
        <f>AVERAGE('2. Expert 1'!F12, '3. Expert 2'!F12, '4. Expert 3'!F12, '5. Expert 4'!E12)</f>
        <v>1</v>
      </c>
      <c r="L11" s="22">
        <f>_xlfn.RANK.EQ(K11, (K$2:K$11, K$13:K$40), 1)</f>
        <v>2</v>
      </c>
      <c r="M11" s="21">
        <f>AVERAGE('2. Expert 1'!G12, '3. Expert 2'!G12, '4. Expert 3'!G12)</f>
        <v>0.65</v>
      </c>
      <c r="N11" s="22">
        <f>_xlfn.RANK.EQ(M11, (M$2:M$11, M$13:M$40), 1)</f>
        <v>3</v>
      </c>
      <c r="O11" s="21">
        <f>AVERAGE('2. Expert 1'!H12, '3. Expert 2'!H12, '4. Expert 3'!H12)</f>
        <v>0.36333333333333329</v>
      </c>
      <c r="P11" s="22">
        <f>_xlfn.RANK.EQ(O11, (O$2:O$11, O$13:O$40), 1)</f>
        <v>3</v>
      </c>
      <c r="Q11" s="21">
        <f>AVERAGE('2. Expert 1'!I12, '3. Expert 2'!I12, '4. Expert 3'!I12, '5. Expert 4'!F12)</f>
        <v>1.5</v>
      </c>
      <c r="R11" s="22">
        <f>_xlfn.RANK.EQ(Q11, (Q$2:Q$11, Q$13:Q$40), 1)</f>
        <v>7</v>
      </c>
      <c r="S11" s="21">
        <f>AVERAGE('2. Expert 1'!J12, '3. Expert 2'!J12, '4. Expert 3'!J12, '5. Expert 4'!G12)</f>
        <v>2</v>
      </c>
      <c r="T11" s="22">
        <f>_xlfn.RANK.EQ(S11, (S$2:S$11, S$13:S$40), 1)</f>
        <v>15</v>
      </c>
      <c r="U11" s="20">
        <v>70.168999999999997</v>
      </c>
      <c r="V11" s="22">
        <f>_xlfn.RANK.EQ(U11, (U$2:U$11, U$13:U$40), 1)</f>
        <v>7</v>
      </c>
      <c r="W11" s="21">
        <f t="shared" si="2"/>
        <v>3.6815877856793358</v>
      </c>
      <c r="X11" s="29">
        <f>_xlfn.RANK.EQ(W11, (W$2:W$11, W$13:W$40), 1)</f>
        <v>37</v>
      </c>
    </row>
    <row r="12" spans="2:24" s="4" customFormat="1" x14ac:dyDescent="0.3">
      <c r="B12" s="28" t="s">
        <v>39</v>
      </c>
      <c r="C12" s="21">
        <f>AVERAGE('2. Expert 1'!C13, '3. Expert 2'!C13, '4. Expert 3'!C13, '5. Expert 4'!C13)</f>
        <v>3.75</v>
      </c>
      <c r="D12" s="22"/>
      <c r="E12" s="21">
        <f>AVERAGE('2. Expert 1'!D13, '3. Expert 2'!D13, '4. Expert 3'!D13)</f>
        <v>227.16666666666666</v>
      </c>
      <c r="F12" s="22"/>
      <c r="G12" s="21"/>
      <c r="H12" s="23"/>
      <c r="I12" s="21">
        <f>AVERAGE('2. Expert 1'!E13, '3. Expert 2'!E13, '4. Expert 3'!E13, '5. Expert 4'!D13)</f>
        <v>2</v>
      </c>
      <c r="J12" s="22"/>
      <c r="K12" s="21">
        <f>AVERAGE('2. Expert 1'!F13, '3. Expert 2'!F13, '4. Expert 3'!F13, '5. Expert 4'!E13)</f>
        <v>1.25</v>
      </c>
      <c r="L12" s="22"/>
      <c r="M12" s="21">
        <f>AVERAGE('2. Expert 1'!G13, '3. Expert 2'!G13, '4. Expert 3'!G13)</f>
        <v>2.8866666666666667</v>
      </c>
      <c r="N12" s="22"/>
      <c r="O12" s="21">
        <f>AVERAGE('2. Expert 1'!H13, '3. Expert 2'!H13, '4. Expert 3'!H13)</f>
        <v>1.4666666666666666</v>
      </c>
      <c r="P12" s="22"/>
      <c r="Q12" s="21">
        <f>AVERAGE('2. Expert 1'!I13, '3. Expert 2'!I13, '4. Expert 3'!I13, '5. Expert 4'!F13)</f>
        <v>4.25</v>
      </c>
      <c r="R12" s="22"/>
      <c r="S12" s="21">
        <f>AVERAGE('2. Expert 1'!J13, '3. Expert 2'!J13, '4. Expert 3'!J13, '5. Expert 4'!G13)</f>
        <v>1</v>
      </c>
      <c r="T12" s="22"/>
      <c r="U12" s="20">
        <v>1361.06</v>
      </c>
      <c r="V12" s="22"/>
      <c r="W12" s="21">
        <f t="shared" si="2"/>
        <v>0.16690422660769302</v>
      </c>
      <c r="X12" s="29"/>
    </row>
    <row r="13" spans="2:24" s="4" customFormat="1" x14ac:dyDescent="0.3">
      <c r="B13" s="28" t="s">
        <v>5</v>
      </c>
      <c r="C13" s="21">
        <f>AVERAGE('2. Expert 1'!C14, '3. Expert 2'!C14, '4. Expert 3'!C14, '5. Expert 4'!C14)</f>
        <v>0.5</v>
      </c>
      <c r="D13" s="22">
        <f>_xlfn.RANK.EQ(C13, (C$2:C$11, C$13:C$40), 1)</f>
        <v>3</v>
      </c>
      <c r="E13" s="21">
        <f>AVERAGE('2. Expert 1'!D14, '3. Expert 2'!D14, '4. Expert 3'!D14)</f>
        <v>40.833333333333336</v>
      </c>
      <c r="F13" s="22">
        <f>_xlfn.RANK.EQ(E13, (E$2:E$11, E$13:E$40), 1)</f>
        <v>13</v>
      </c>
      <c r="G13" s="21">
        <f t="shared" ref="G13:G40" si="3">0.071 * (E13 ^ 1.3417)</f>
        <v>10.298096365631569</v>
      </c>
      <c r="H13" s="23">
        <f t="shared" ref="H13:H40" si="4">LN(E13) - LN(G13)</f>
        <v>1.3775396820329155</v>
      </c>
      <c r="I13" s="21">
        <f>AVERAGE('2. Expert 1'!E14, '3. Expert 2'!E14, '4. Expert 3'!E14, '5. Expert 4'!D14)</f>
        <v>1</v>
      </c>
      <c r="J13" s="22">
        <f>_xlfn.RANK.EQ(I13, (I$2:I$11, I$13:I$40), 1)</f>
        <v>7</v>
      </c>
      <c r="K13" s="21">
        <f>AVERAGE('2. Expert 1'!F14, '3. Expert 2'!F14, '4. Expert 3'!F14, '5. Expert 4'!E14)</f>
        <v>1</v>
      </c>
      <c r="L13" s="22">
        <f>_xlfn.RANK.EQ(K13, (K$2:K$11, K$13:K$40), 1)</f>
        <v>2</v>
      </c>
      <c r="M13" s="21">
        <f>AVERAGE('2. Expert 1'!G14, '3. Expert 2'!G14, '4. Expert 3'!G14)</f>
        <v>1.1933333333333334</v>
      </c>
      <c r="N13" s="22">
        <f>_xlfn.RANK.EQ(M13, (M$2:M$11, M$13:M$40), 1)</f>
        <v>17</v>
      </c>
      <c r="O13" s="21">
        <f>AVERAGE('2. Expert 1'!H14, '3. Expert 2'!H14, '4. Expert 3'!H14)</f>
        <v>1.0916666666666668</v>
      </c>
      <c r="P13" s="22">
        <f>_xlfn.RANK.EQ(O13, (O$2:O$11, O$13:O$40), 1)</f>
        <v>33</v>
      </c>
      <c r="Q13" s="21">
        <f>AVERAGE('2. Expert 1'!I14, '3. Expert 2'!I14, '4. Expert 3'!I14, '5. Expert 4'!F14)</f>
        <v>1.25</v>
      </c>
      <c r="R13" s="22">
        <f>_xlfn.RANK.EQ(Q13, (Q$2:Q$11, Q$13:Q$40), 1)</f>
        <v>1</v>
      </c>
      <c r="S13" s="21">
        <f>AVERAGE('2. Expert 1'!J14, '3. Expert 2'!J14, '4. Expert 3'!J14, '5. Expert 4'!G14)</f>
        <v>1.25</v>
      </c>
      <c r="T13" s="22">
        <f>_xlfn.RANK.EQ(S13, (S$2:S$11, S$13:S$40), 1)</f>
        <v>1</v>
      </c>
      <c r="U13" s="20">
        <v>112.57299999999999</v>
      </c>
      <c r="V13" s="22">
        <f>_xlfn.RANK.EQ(U13, (U$2:U$11, U$13:U$40), 1)</f>
        <v>13</v>
      </c>
      <c r="W13" s="21">
        <f t="shared" si="2"/>
        <v>0.36272759305813418</v>
      </c>
      <c r="X13" s="29">
        <f>_xlfn.RANK.EQ(W13, (W$2:W$11, W$13:W$40), 1)</f>
        <v>14</v>
      </c>
    </row>
    <row r="14" spans="2:24" s="4" customFormat="1" x14ac:dyDescent="0.3">
      <c r="B14" s="28" t="s">
        <v>27</v>
      </c>
      <c r="C14" s="21">
        <f>AVERAGE('2. Expert 1'!C15, '3. Expert 2'!C15, '4. Expert 3'!C15, '5. Expert 4'!C15)</f>
        <v>1.5</v>
      </c>
      <c r="D14" s="22">
        <f>_xlfn.RANK.EQ(C14, (C$2:C$11, C$13:C$40), 1)</f>
        <v>15</v>
      </c>
      <c r="E14" s="21">
        <f>AVERAGE('2. Expert 1'!D15, '3. Expert 2'!D15, '4. Expert 3'!D15)</f>
        <v>114</v>
      </c>
      <c r="F14" s="22">
        <f>_xlfn.RANK.EQ(E14, (E$2:E$11, E$13:E$40), 1)</f>
        <v>20</v>
      </c>
      <c r="G14" s="21">
        <f t="shared" si="3"/>
        <v>40.832652032947621</v>
      </c>
      <c r="H14" s="23">
        <f t="shared" si="4"/>
        <v>1.0267163921244236</v>
      </c>
      <c r="I14" s="21">
        <f>AVERAGE('2. Expert 1'!E15, '3. Expert 2'!E15, '4. Expert 3'!E15, '5. Expert 4'!D15)</f>
        <v>1.75</v>
      </c>
      <c r="J14" s="22">
        <f>_xlfn.RANK.EQ(I14, (I$2:I$11, I$13:I$40), 1)</f>
        <v>23</v>
      </c>
      <c r="K14" s="21">
        <f>AVERAGE('2. Expert 1'!F15, '3. Expert 2'!F15, '4. Expert 3'!F15, '5. Expert 4'!E15)</f>
        <v>1</v>
      </c>
      <c r="L14" s="22">
        <f>_xlfn.RANK.EQ(K14, (K$2:K$11, K$13:K$40), 1)</f>
        <v>2</v>
      </c>
      <c r="M14" s="21">
        <f>AVERAGE('2. Expert 1'!G15, '3. Expert 2'!G15, '4. Expert 3'!G15)</f>
        <v>0.39500000000000002</v>
      </c>
      <c r="N14" s="22">
        <f>_xlfn.RANK.EQ(M14, (M$2:M$11, M$13:M$40), 1)</f>
        <v>1</v>
      </c>
      <c r="O14" s="21">
        <f>AVERAGE('2. Expert 1'!H15, '3. Expert 2'!H15, '4. Expert 3'!H15)</f>
        <v>0.32499999999999996</v>
      </c>
      <c r="P14" s="22">
        <f>_xlfn.RANK.EQ(O14, (O$2:O$11, O$13:O$40), 1)</f>
        <v>1</v>
      </c>
      <c r="Q14" s="21">
        <f>AVERAGE('2. Expert 1'!I15, '3. Expert 2'!I15, '4. Expert 3'!I15, '5. Expert 4'!F15)</f>
        <v>1.5</v>
      </c>
      <c r="R14" s="22">
        <f>_xlfn.RANK.EQ(Q14, (Q$2:Q$11, Q$13:Q$40), 1)</f>
        <v>7</v>
      </c>
      <c r="S14" s="21">
        <f>AVERAGE('2. Expert 1'!J15, '3. Expert 2'!J15, '4. Expert 3'!J15, '5. Expert 4'!G15)</f>
        <v>2</v>
      </c>
      <c r="T14" s="22">
        <f>_xlfn.RANK.EQ(S14, (S$2:S$11, S$13:S$40), 1)</f>
        <v>15</v>
      </c>
      <c r="U14" s="20">
        <v>125.467</v>
      </c>
      <c r="V14" s="22">
        <f>_xlfn.RANK.EQ(U14, (U$2:U$11, U$13:U$40), 1)</f>
        <v>14</v>
      </c>
      <c r="W14" s="21">
        <f t="shared" si="2"/>
        <v>0.90860545003865556</v>
      </c>
      <c r="X14" s="29">
        <f>_xlfn.RANK.EQ(W14, (W$2:W$11, W$13:W$40), 1)</f>
        <v>24</v>
      </c>
    </row>
    <row r="15" spans="2:24" s="4" customFormat="1" x14ac:dyDescent="0.3">
      <c r="B15" s="28" t="s">
        <v>7</v>
      </c>
      <c r="C15" s="21">
        <f>AVERAGE('2. Expert 1'!C16, '3. Expert 2'!C16, '4. Expert 3'!C16, '5. Expert 4'!C16)</f>
        <v>2</v>
      </c>
      <c r="D15" s="22">
        <f>_xlfn.RANK.EQ(C15, (C$2:C$11, C$13:C$40), 1)</f>
        <v>23</v>
      </c>
      <c r="E15" s="21">
        <f>AVERAGE('2. Expert 1'!D16, '3. Expert 2'!D16, '2. Expert 1'!D16)</f>
        <v>355.66666666666669</v>
      </c>
      <c r="F15" s="22">
        <f>_xlfn.RANK.EQ(E15, (E$2:E$11, E$13:E$40), 1)</f>
        <v>29</v>
      </c>
      <c r="G15" s="21">
        <f t="shared" si="3"/>
        <v>187.92863650819123</v>
      </c>
      <c r="H15" s="23">
        <f t="shared" si="4"/>
        <v>0.63793166490890574</v>
      </c>
      <c r="I15" s="21">
        <f>AVERAGE('2. Expert 1'!E16, '3. Expert 2'!E16, '4. Expert 3'!E16, '5. Expert 4'!D16)</f>
        <v>1.5</v>
      </c>
      <c r="J15" s="22">
        <f>_xlfn.RANK.EQ(I15, (I$2:I$11, I$13:I$40), 1)</f>
        <v>15</v>
      </c>
      <c r="K15" s="21">
        <f>AVERAGE('2. Expert 1'!F16, '3. Expert 2'!F16, '4. Expert 3'!F16, '5. Expert 4'!E16)</f>
        <v>1</v>
      </c>
      <c r="L15" s="22">
        <f>_xlfn.RANK.EQ(K15, (K$2:K$11, K$13:K$40), 1)</f>
        <v>2</v>
      </c>
      <c r="M15" s="21">
        <f>AVERAGE('2. Expert 1'!G16, '3. Expert 2'!G16, '4. Expert 3'!G16)</f>
        <v>1.4633333333333336</v>
      </c>
      <c r="N15" s="22">
        <f>_xlfn.RANK.EQ(M15, (M$2:M$11, M$13:M$40), 1)</f>
        <v>35</v>
      </c>
      <c r="O15" s="21">
        <f>AVERAGE('2. Expert 1'!H16, '3. Expert 2'!H16, '4. Expert 3'!H16)</f>
        <v>0.60833333333333328</v>
      </c>
      <c r="P15" s="22">
        <f>_xlfn.RANK.EQ(O15, (O$2:O$11, O$13:O$40), 1)</f>
        <v>14</v>
      </c>
      <c r="Q15" s="21">
        <f>AVERAGE('2. Expert 1'!I16, '3. Expert 2'!I16, '4. Expert 3'!I16, '5. Expert 4'!F16)</f>
        <v>1.25</v>
      </c>
      <c r="R15" s="22">
        <f>_xlfn.RANK.EQ(Q15, (Q$2:Q$11, Q$13:Q$40), 1)</f>
        <v>1</v>
      </c>
      <c r="S15" s="21">
        <f>AVERAGE('2. Expert 1'!J16, '3. Expert 2'!J16, '4. Expert 3'!J16, '5. Expert 4'!G16)</f>
        <v>2</v>
      </c>
      <c r="T15" s="22">
        <f>_xlfn.RANK.EQ(S15, (S$2:S$11, S$13:S$40), 1)</f>
        <v>15</v>
      </c>
      <c r="U15" s="20">
        <v>200.67699999999999</v>
      </c>
      <c r="V15" s="22">
        <f>_xlfn.RANK.EQ(U15, (U$2:U$11, U$13:U$40), 1)</f>
        <v>22</v>
      </c>
      <c r="W15" s="21">
        <f t="shared" si="2"/>
        <v>1.7723339828015503</v>
      </c>
      <c r="X15" s="29">
        <f>_xlfn.RANK.EQ(W15, (W$2:W$11, W$13:W$40), 1)</f>
        <v>30</v>
      </c>
    </row>
    <row r="16" spans="2:24" s="4" customFormat="1" x14ac:dyDescent="0.3">
      <c r="B16" s="28" t="s">
        <v>10</v>
      </c>
      <c r="C16" s="21">
        <f>AVERAGE('2. Expert 1'!C17, '3. Expert 2'!C17, '4. Expert 3'!C17, '5. Expert 4'!C17)</f>
        <v>3.25</v>
      </c>
      <c r="D16" s="22">
        <f>_xlfn.RANK.EQ(C16, (C$2:C$11, C$13:C$40), 1)</f>
        <v>36</v>
      </c>
      <c r="E16" s="21">
        <f>AVERAGE('2. Expert 1'!D17, '3. Expert 2'!D17, '4. Expert 3'!D17)</f>
        <v>230.33333333333334</v>
      </c>
      <c r="F16" s="22">
        <f>_xlfn.RANK.EQ(E16, (E$2:E$11, E$13:E$40), 1)</f>
        <v>25</v>
      </c>
      <c r="G16" s="21">
        <f t="shared" si="3"/>
        <v>104.91376131741167</v>
      </c>
      <c r="H16" s="23">
        <f t="shared" si="4"/>
        <v>0.78638884319730185</v>
      </c>
      <c r="I16" s="21">
        <f>AVERAGE('2. Expert 1'!E17, '3. Expert 2'!E17, '4. Expert 3'!E17, '5. Expert 4'!D17)</f>
        <v>1.75</v>
      </c>
      <c r="J16" s="22">
        <f>_xlfn.RANK.EQ(I16, (I$2:I$11, I$13:I$40), 1)</f>
        <v>23</v>
      </c>
      <c r="K16" s="21">
        <f>AVERAGE('2. Expert 1'!F17, '3. Expert 2'!F17, '4. Expert 3'!F17, '5. Expert 4'!E17)</f>
        <v>1</v>
      </c>
      <c r="L16" s="22">
        <f>_xlfn.RANK.EQ(K16, (K$2:K$11, K$13:K$40), 1)</f>
        <v>2</v>
      </c>
      <c r="M16" s="21">
        <f>AVERAGE('2. Expert 1'!G17, '3. Expert 2'!G17, '4. Expert 3'!G17)</f>
        <v>1.2833333333333334</v>
      </c>
      <c r="N16" s="22">
        <f>_xlfn.RANK.EQ(M16, (M$2:M$11, M$13:M$40), 1)</f>
        <v>27</v>
      </c>
      <c r="O16" s="21">
        <f>AVERAGE('2. Expert 1'!H17, '3. Expert 2'!H17, '4. Expert 3'!H17)</f>
        <v>1.0266666666666666</v>
      </c>
      <c r="P16" s="22">
        <f>_xlfn.RANK.EQ(O16, (O$2:O$11, O$13:O$40), 1)</f>
        <v>28</v>
      </c>
      <c r="Q16" s="21">
        <f>AVERAGE('2. Expert 1'!I17, '3. Expert 2'!I17, '4. Expert 3'!I17, '5. Expert 4'!F17)</f>
        <v>1.5</v>
      </c>
      <c r="R16" s="22">
        <f>_xlfn.RANK.EQ(Q16, (Q$2:Q$11, Q$13:Q$40), 1)</f>
        <v>7</v>
      </c>
      <c r="S16" s="21">
        <f>AVERAGE('2. Expert 1'!J17, '3. Expert 2'!J17, '4. Expert 3'!J17, '5. Expert 4'!G17)</f>
        <v>1.75</v>
      </c>
      <c r="T16" s="22">
        <f>_xlfn.RANK.EQ(S16, (S$2:S$11, S$13:S$40), 1)</f>
        <v>5</v>
      </c>
      <c r="U16" s="20">
        <v>316.55099999999999</v>
      </c>
      <c r="V16" s="22">
        <f>_xlfn.RANK.EQ(U16, (U$2:U$11, U$13:U$40), 1)</f>
        <v>30</v>
      </c>
      <c r="W16" s="21">
        <f t="shared" si="2"/>
        <v>0.72763419901795712</v>
      </c>
      <c r="X16" s="29">
        <f>_xlfn.RANK.EQ(W16, (W$2:W$11, W$13:W$40), 1)</f>
        <v>21</v>
      </c>
    </row>
    <row r="17" spans="2:24" s="4" customFormat="1" x14ac:dyDescent="0.3">
      <c r="B17" s="28" t="s">
        <v>1</v>
      </c>
      <c r="C17" s="21">
        <f>AVERAGE('2. Expert 1'!C18, '3. Expert 2'!C18, '4. Expert 3'!C18, '5. Expert 4'!C18)</f>
        <v>1.75</v>
      </c>
      <c r="D17" s="22">
        <f>_xlfn.RANK.EQ(C17, (C$2:C$11, C$13:C$40), 1)</f>
        <v>16</v>
      </c>
      <c r="E17" s="21">
        <f>AVERAGE('2. Expert 1'!D18, '3. Expert 2'!D18, '4. Expert 3'!D18)</f>
        <v>488</v>
      </c>
      <c r="F17" s="22">
        <f>_xlfn.RANK.EQ(E17, (E$2:E$11, E$13:E$40), 1)</f>
        <v>33</v>
      </c>
      <c r="G17" s="21">
        <f t="shared" si="3"/>
        <v>287.28385767187609</v>
      </c>
      <c r="H17" s="23">
        <f t="shared" si="4"/>
        <v>0.52984462776080221</v>
      </c>
      <c r="I17" s="21">
        <f>AVERAGE('2. Expert 1'!E18, '3. Expert 2'!E18, '4. Expert 3'!E18, '5. Expert 4'!D18)</f>
        <v>1.6666666666666667</v>
      </c>
      <c r="J17" s="22">
        <f>_xlfn.RANK.EQ(I17, (I$2:I$11, I$13:I$40), 1)</f>
        <v>22</v>
      </c>
      <c r="K17" s="21">
        <f>AVERAGE('2. Expert 1'!F18, '3. Expert 2'!F18, '4. Expert 3'!F18, '5. Expert 4'!E18)</f>
        <v>1</v>
      </c>
      <c r="L17" s="22">
        <f>_xlfn.RANK.EQ(K17, (K$2:K$11, K$13:K$40), 1)</f>
        <v>2</v>
      </c>
      <c r="M17" s="21">
        <f>AVERAGE('2. Expert 1'!G18, '3. Expert 2'!G18, '4. Expert 3'!G18)</f>
        <v>1.0250000000000001</v>
      </c>
      <c r="N17" s="22">
        <f>_xlfn.RANK.EQ(M17, (M$2:M$11, M$13:M$40), 1)</f>
        <v>12</v>
      </c>
      <c r="O17" s="21">
        <f>AVERAGE('2. Expert 1'!H18, '3. Expert 2'!H18, '4. Expert 3'!H18)</f>
        <v>0.41249999999999998</v>
      </c>
      <c r="P17" s="22">
        <f>_xlfn.RANK.EQ(O17, (O$2:O$11, O$13:O$40), 1)</f>
        <v>5</v>
      </c>
      <c r="Q17" s="21">
        <f>AVERAGE('2. Expert 1'!I18, '3. Expert 2'!I18, '4. Expert 3'!I18, '5. Expert 4'!F18)</f>
        <v>1.875</v>
      </c>
      <c r="R17" s="22">
        <f>_xlfn.RANK.EQ(Q17, (Q$2:Q$11, Q$13:Q$40), 1)</f>
        <v>25</v>
      </c>
      <c r="S17" s="21">
        <f>AVERAGE('2. Expert 1'!J18, '3. Expert 2'!J18, '4. Expert 3'!J18, '5. Expert 4'!G18)</f>
        <v>1.875</v>
      </c>
      <c r="T17" s="22">
        <f>_xlfn.RANK.EQ(S17, (S$2:S$11, S$13:S$40), 1)</f>
        <v>14</v>
      </c>
      <c r="U17" s="20">
        <v>338.58300000000003</v>
      </c>
      <c r="V17" s="22">
        <f>_xlfn.RANK.EQ(U17, (U$2:U$11, U$13:U$40), 1)</f>
        <v>32</v>
      </c>
      <c r="W17" s="21">
        <f t="shared" si="2"/>
        <v>1.4413009513176975</v>
      </c>
      <c r="X17" s="29">
        <f>_xlfn.RANK.EQ(W17, (W$2:W$11, W$13:W$40), 1)</f>
        <v>28</v>
      </c>
    </row>
    <row r="18" spans="2:24" s="4" customFormat="1" x14ac:dyDescent="0.3">
      <c r="B18" s="28" t="s">
        <v>9</v>
      </c>
      <c r="C18" s="21">
        <f>AVERAGE('2. Expert 1'!C19, '3. Expert 2'!C19, '4. Expert 3'!C19, '5. Expert 4'!C19)</f>
        <v>3.75</v>
      </c>
      <c r="D18" s="22">
        <f>_xlfn.RANK.EQ(C18, (C$2:C$11, C$13:C$40), 1)</f>
        <v>37</v>
      </c>
      <c r="E18" s="21">
        <f>AVERAGE('2. Expert 1'!D19, '3. Expert 2'!D19, '4. Expert 3'!D19)</f>
        <v>202</v>
      </c>
      <c r="F18" s="22">
        <f>_xlfn.RANK.EQ(E18, (E$2:E$11, E$13:E$40), 1)</f>
        <v>23</v>
      </c>
      <c r="G18" s="21">
        <f t="shared" si="3"/>
        <v>87.972772893094813</v>
      </c>
      <c r="H18" s="23">
        <f t="shared" si="4"/>
        <v>0.83124032973883022</v>
      </c>
      <c r="I18" s="21">
        <f>AVERAGE('2. Expert 1'!E19, '3. Expert 2'!E19, '4. Expert 3'!E19, '5. Expert 4'!D19)</f>
        <v>2</v>
      </c>
      <c r="J18" s="22">
        <f>_xlfn.RANK.EQ(I18, (I$2:I$11, I$13:I$40), 1)</f>
        <v>25</v>
      </c>
      <c r="K18" s="21">
        <f>AVERAGE('2. Expert 1'!F19, '3. Expert 2'!F19, '4. Expert 3'!F19, '5. Expert 4'!E19)</f>
        <v>1</v>
      </c>
      <c r="L18" s="22">
        <f>_xlfn.RANK.EQ(K18, (K$2:K$11, K$13:K$40), 1)</f>
        <v>2</v>
      </c>
      <c r="M18" s="21">
        <f>AVERAGE('2. Expert 1'!G19, '3. Expert 2'!G19, '4. Expert 3'!G19)</f>
        <v>0.94000000000000006</v>
      </c>
      <c r="N18" s="22">
        <f>_xlfn.RANK.EQ(M18, (M$2:M$11, M$13:M$40), 1)</f>
        <v>9</v>
      </c>
      <c r="O18" s="21">
        <f>AVERAGE('2. Expert 1'!H19, '3. Expert 2'!H19, '4. Expert 3'!H19)</f>
        <v>0.66666666666666663</v>
      </c>
      <c r="P18" s="22">
        <f>_xlfn.RANK.EQ(O18, (O$2:O$11, O$13:O$40), 1)</f>
        <v>18</v>
      </c>
      <c r="Q18" s="21">
        <f>AVERAGE('2. Expert 1'!I19, '3. Expert 2'!I19, '4. Expert 3'!I19, '5. Expert 4'!F19)</f>
        <v>2.5</v>
      </c>
      <c r="R18" s="22">
        <f>_xlfn.RANK.EQ(Q18, (Q$2:Q$11, Q$13:Q$40), 1)</f>
        <v>31</v>
      </c>
      <c r="S18" s="21">
        <f>AVERAGE('2. Expert 1'!J19, '3. Expert 2'!J19, '4. Expert 3'!J19, '5. Expert 4'!G19)</f>
        <v>2</v>
      </c>
      <c r="T18" s="22">
        <f>_xlfn.RANK.EQ(S18, (S$2:S$11, S$13:S$40), 1)</f>
        <v>15</v>
      </c>
      <c r="U18" s="20">
        <v>354.41199999999998</v>
      </c>
      <c r="V18" s="22">
        <f>_xlfn.RANK.EQ(U18, (U$2:U$11, U$13:U$40), 1)</f>
        <v>34</v>
      </c>
      <c r="W18" s="21">
        <f t="shared" si="2"/>
        <v>0.56995812782862887</v>
      </c>
      <c r="X18" s="29">
        <f>_xlfn.RANK.EQ(W18, (W$2:W$11, W$13:W$40), 1)</f>
        <v>19</v>
      </c>
    </row>
    <row r="19" spans="2:24" s="4" customFormat="1" x14ac:dyDescent="0.3">
      <c r="B19" s="28" t="s">
        <v>26</v>
      </c>
      <c r="C19" s="21">
        <f>AVERAGE('2. Expert 1'!C20, '3. Expert 2'!C20, '4. Expert 3'!C20, '5. Expert 4'!C20)</f>
        <v>1.75</v>
      </c>
      <c r="D19" s="22">
        <f>_xlfn.RANK.EQ(C19, (C$2:C$11, C$13:C$40), 1)</f>
        <v>16</v>
      </c>
      <c r="E19" s="21">
        <f>AVERAGE('2. Expert 1'!D20, '3. Expert 2'!D20, '4. Expert 3'!D20)</f>
        <v>9.3333333333333339</v>
      </c>
      <c r="F19" s="22">
        <f>_xlfn.RANK.EQ(E19, (E$2:E$11, E$13:E$40), 1)</f>
        <v>4</v>
      </c>
      <c r="G19" s="21">
        <f t="shared" si="3"/>
        <v>1.421532168264082</v>
      </c>
      <c r="H19" s="23">
        <f t="shared" si="4"/>
        <v>1.8818569398518479</v>
      </c>
      <c r="I19" s="21">
        <f>AVERAGE('2. Expert 1'!E20, '3. Expert 2'!E20, '4. Expert 3'!E20, '5. Expert 4'!D20)</f>
        <v>1.25</v>
      </c>
      <c r="J19" s="22">
        <f>_xlfn.RANK.EQ(I19, (I$2:I$11, I$13:I$40), 1)</f>
        <v>12</v>
      </c>
      <c r="K19" s="21">
        <f>AVERAGE('2. Expert 1'!F20, '3. Expert 2'!F20, '4. Expert 3'!F20, '5. Expert 4'!E20)</f>
        <v>1</v>
      </c>
      <c r="L19" s="22">
        <f>_xlfn.RANK.EQ(K19, (K$2:K$11, K$13:K$40), 1)</f>
        <v>2</v>
      </c>
      <c r="M19" s="21">
        <f>AVERAGE('2. Expert 1'!G20, '3. Expert 2'!G20, '4. Expert 3'!G20)</f>
        <v>0.86</v>
      </c>
      <c r="N19" s="22">
        <f>_xlfn.RANK.EQ(M19, (M$2:M$11, M$13:M$40), 1)</f>
        <v>6</v>
      </c>
      <c r="O19" s="21">
        <f>AVERAGE('2. Expert 1'!H20, '3. Expert 2'!H20, '4. Expert 3'!H20)</f>
        <v>0.83</v>
      </c>
      <c r="P19" s="22">
        <f>_xlfn.RANK.EQ(O19, (O$2:O$11, O$13:O$40), 1)</f>
        <v>21</v>
      </c>
      <c r="Q19" s="21">
        <f>AVERAGE('2. Expert 1'!I20, '3. Expert 2'!I20, '4. Expert 3'!I20, '5. Expert 4'!F20)</f>
        <v>1.75</v>
      </c>
      <c r="R19" s="22">
        <f>_xlfn.RANK.EQ(Q19, (Q$2:Q$11, Q$13:Q$40), 1)</f>
        <v>19</v>
      </c>
      <c r="S19" s="21">
        <f>AVERAGE('2. Expert 1'!J20, '3. Expert 2'!J20, '4. Expert 3'!J20, '5. Expert 4'!G20)</f>
        <v>2</v>
      </c>
      <c r="T19" s="22">
        <f>_xlfn.RANK.EQ(S19, (S$2:S$11, S$13:S$40), 1)</f>
        <v>15</v>
      </c>
      <c r="U19" s="20">
        <v>21.617999999999999</v>
      </c>
      <c r="V19" s="22">
        <f>_xlfn.RANK.EQ(U19, (U$2:U$11, U$13:U$40), 1)</f>
        <v>1</v>
      </c>
      <c r="W19" s="21">
        <f t="shared" si="2"/>
        <v>0.43173898294631025</v>
      </c>
      <c r="X19" s="29">
        <f>_xlfn.RANK.EQ(W19, (W$2:W$11, W$13:W$40), 1)</f>
        <v>17</v>
      </c>
    </row>
    <row r="20" spans="2:24" s="4" customFormat="1" x14ac:dyDescent="0.3">
      <c r="B20" s="28" t="s">
        <v>25</v>
      </c>
      <c r="C20" s="21">
        <f>AVERAGE('2. Expert 1'!C21, '3. Expert 2'!C21, '4. Expert 3'!C21, '5. Expert 4'!C21)</f>
        <v>0.875</v>
      </c>
      <c r="D20" s="22">
        <f>_xlfn.RANK.EQ(C20, (C$2:C$11, C$13:C$40), 1)</f>
        <v>10</v>
      </c>
      <c r="E20" s="21">
        <f>AVERAGE('2. Expert 1'!D21, '3. Expert 2'!D21, '4. Expert 3'!D21)</f>
        <v>15.5</v>
      </c>
      <c r="F20" s="22">
        <f>_xlfn.RANK.EQ(E20, (E$2:E$11, E$13:E$40), 1)</f>
        <v>6</v>
      </c>
      <c r="G20" s="21">
        <f t="shared" si="3"/>
        <v>2.8075428161870968</v>
      </c>
      <c r="H20" s="23">
        <f t="shared" si="4"/>
        <v>1.708530365765581</v>
      </c>
      <c r="I20" s="21">
        <f>AVERAGE('2. Expert 1'!E21, '3. Expert 2'!E21, '4. Expert 3'!E21, '5. Expert 4'!D21)</f>
        <v>1</v>
      </c>
      <c r="J20" s="22">
        <f>_xlfn.RANK.EQ(I20, (I$2:I$11, I$13:I$40), 1)</f>
        <v>7</v>
      </c>
      <c r="K20" s="21">
        <f>AVERAGE('2. Expert 1'!F21, '3. Expert 2'!F21, '4. Expert 3'!F21, '5. Expert 4'!E21)</f>
        <v>1</v>
      </c>
      <c r="L20" s="22">
        <f>_xlfn.RANK.EQ(K20, (K$2:K$11, K$13:K$40), 1)</f>
        <v>2</v>
      </c>
      <c r="M20" s="21">
        <f>AVERAGE('2. Expert 1'!G21, '3. Expert 2'!G21, '4. Expert 3'!G21)</f>
        <v>1.3549999999999998</v>
      </c>
      <c r="N20" s="22">
        <f>_xlfn.RANK.EQ(M20, (M$2:M$11, M$13:M$40), 1)</f>
        <v>29</v>
      </c>
      <c r="O20" s="21">
        <f>AVERAGE('2. Expert 1'!H21, '3. Expert 2'!H21, '4. Expert 3'!H21)</f>
        <v>1.095</v>
      </c>
      <c r="P20" s="22">
        <f>_xlfn.RANK.EQ(O20, (O$2:O$11, O$13:O$40), 1)</f>
        <v>34</v>
      </c>
      <c r="Q20" s="21">
        <f>AVERAGE('2. Expert 1'!I21, '3. Expert 2'!I21, '4. Expert 3'!I21, '5. Expert 4'!F21)</f>
        <v>2.75</v>
      </c>
      <c r="R20" s="22">
        <f>_xlfn.RANK.EQ(Q20, (Q$2:Q$11, Q$13:Q$40), 1)</f>
        <v>32</v>
      </c>
      <c r="S20" s="21">
        <f>AVERAGE('2. Expert 1'!J21, '3. Expert 2'!J21, '4. Expert 3'!J21, '5. Expert 4'!G21)</f>
        <v>2.125</v>
      </c>
      <c r="T20" s="22">
        <f>_xlfn.RANK.EQ(S20, (S$2:S$11, S$13:S$40), 1)</f>
        <v>27</v>
      </c>
      <c r="U20" s="20">
        <v>63.540999999999997</v>
      </c>
      <c r="V20" s="22">
        <f>_xlfn.RANK.EQ(U20, (U$2:U$11, U$13:U$40), 1)</f>
        <v>6</v>
      </c>
      <c r="W20" s="21">
        <f t="shared" si="2"/>
        <v>0.24393698556837318</v>
      </c>
      <c r="X20" s="29">
        <f>_xlfn.RANK.EQ(W20, (W$2:W$11, W$13:W$40), 1)</f>
        <v>11</v>
      </c>
    </row>
    <row r="21" spans="2:24" s="4" customFormat="1" x14ac:dyDescent="0.3">
      <c r="B21" s="28" t="s">
        <v>24</v>
      </c>
      <c r="C21" s="21">
        <f>AVERAGE('2. Expert 1'!C22, '3. Expert 2'!C22, '4. Expert 3'!C22, '5. Expert 4'!C22)</f>
        <v>0.75</v>
      </c>
      <c r="D21" s="22">
        <f>_xlfn.RANK.EQ(C21, (C$2:C$11, C$13:C$40), 1)</f>
        <v>8</v>
      </c>
      <c r="E21" s="21">
        <f>AVERAGE('2. Expert 1'!D22, '3. Expert 2'!D22, '4. Expert 3'!D22)</f>
        <v>3</v>
      </c>
      <c r="F21" s="22">
        <f>_xlfn.RANK.EQ(E21, (E$2:E$11, E$13:E$40), 1)</f>
        <v>1</v>
      </c>
      <c r="G21" s="21">
        <f t="shared" si="3"/>
        <v>0.31003586512764841</v>
      </c>
      <c r="H21" s="23">
        <f t="shared" si="4"/>
        <v>2.2696795829029286</v>
      </c>
      <c r="I21" s="21">
        <f>AVERAGE('2. Expert 1'!E22, '3. Expert 2'!E22, '4. Expert 3'!E22, '5. Expert 4'!D22)</f>
        <v>1</v>
      </c>
      <c r="J21" s="22">
        <f>_xlfn.RANK.EQ(I21, (I$2:I$11, I$13:I$40), 1)</f>
        <v>7</v>
      </c>
      <c r="K21" s="21">
        <f>AVERAGE('2. Expert 1'!F22, '3. Expert 2'!F22, '4. Expert 3'!F22, '5. Expert 4'!E22)</f>
        <v>1</v>
      </c>
      <c r="L21" s="22">
        <f>_xlfn.RANK.EQ(K21, (K$2:K$11, K$13:K$40), 1)</f>
        <v>2</v>
      </c>
      <c r="M21" s="21">
        <f>AVERAGE('2. Expert 1'!G22, '3. Expert 2'!G22, '4. Expert 3'!G22)</f>
        <v>1.2033333333333334</v>
      </c>
      <c r="N21" s="22">
        <f>_xlfn.RANK.EQ(M21, (M$2:M$11, M$13:M$40), 1)</f>
        <v>20</v>
      </c>
      <c r="O21" s="21">
        <f>AVERAGE('2. Expert 1'!H22, '3. Expert 2'!H22, '4. Expert 3'!H22)</f>
        <v>1.1433333333333333</v>
      </c>
      <c r="P21" s="22">
        <f>_xlfn.RANK.EQ(O21, (O$2:O$11, O$13:O$40), 1)</f>
        <v>37</v>
      </c>
      <c r="Q21" s="21">
        <f>AVERAGE('2. Expert 1'!I22, '3. Expert 2'!I22, '4. Expert 3'!I22, '5. Expert 4'!F22)</f>
        <v>2.75</v>
      </c>
      <c r="R21" s="22">
        <f>_xlfn.RANK.EQ(Q21, (Q$2:Q$11, Q$13:Q$40), 1)</f>
        <v>32</v>
      </c>
      <c r="S21" s="21">
        <f>AVERAGE('2. Expert 1'!J22, '3. Expert 2'!J22, '4. Expert 3'!J22, '5. Expert 4'!G22)</f>
        <v>1.625</v>
      </c>
      <c r="T21" s="22">
        <f>_xlfn.RANK.EQ(S21, (S$2:S$11, S$13:S$40), 1)</f>
        <v>4</v>
      </c>
      <c r="U21" s="20">
        <v>23.384</v>
      </c>
      <c r="V21" s="22">
        <f>_xlfn.RANK.EQ(U21, (U$2:U$11, U$13:U$40), 1)</f>
        <v>2</v>
      </c>
      <c r="W21" s="21">
        <f t="shared" si="2"/>
        <v>0.12829284981183714</v>
      </c>
      <c r="X21" s="29">
        <f>_xlfn.RANK.EQ(W21, (W$2:W$11, W$13:W$40), 1)</f>
        <v>4</v>
      </c>
    </row>
    <row r="22" spans="2:24" s="4" customFormat="1" x14ac:dyDescent="0.3">
      <c r="B22" s="28" t="s">
        <v>23</v>
      </c>
      <c r="C22" s="21">
        <f>AVERAGE('2. Expert 1'!C23, '3. Expert 2'!C23, '4. Expert 3'!C23, '5. Expert 4'!C23)</f>
        <v>0.5</v>
      </c>
      <c r="D22" s="22">
        <f>_xlfn.RANK.EQ(C22, (C$2:C$11, C$13:C$40), 1)</f>
        <v>3</v>
      </c>
      <c r="E22" s="21">
        <f>AVERAGE('2. Expert 1'!D23, '3. Expert 2'!D23, '4. Expert 3'!D23)</f>
        <v>7.666666666666667</v>
      </c>
      <c r="F22" s="22">
        <f>_xlfn.RANK.EQ(E22, (E$2:E$11, E$13:E$40), 1)</f>
        <v>3</v>
      </c>
      <c r="G22" s="21">
        <f t="shared" si="3"/>
        <v>1.0917796594093552</v>
      </c>
      <c r="H22" s="23">
        <f t="shared" si="4"/>
        <v>1.9490728473957244</v>
      </c>
      <c r="I22" s="21">
        <f>AVERAGE('2. Expert 1'!E23, '3. Expert 2'!E23, '4. Expert 3'!E23, '5. Expert 4'!D23)</f>
        <v>0.75</v>
      </c>
      <c r="J22" s="22">
        <f>_xlfn.RANK.EQ(I22, (I$2:I$11, I$13:I$40), 1)</f>
        <v>5</v>
      </c>
      <c r="K22" s="21">
        <f>AVERAGE('2. Expert 1'!F23, '3. Expert 2'!F23, '4. Expert 3'!F23, '5. Expert 4'!E23)</f>
        <v>1</v>
      </c>
      <c r="L22" s="22">
        <f>_xlfn.RANK.EQ(K22, (K$2:K$11, K$13:K$40), 1)</f>
        <v>2</v>
      </c>
      <c r="M22" s="21">
        <f>AVERAGE('2. Expert 1'!G23, '3. Expert 2'!G23, '4. Expert 3'!G23)</f>
        <v>1.45</v>
      </c>
      <c r="N22" s="22">
        <f>_xlfn.RANK.EQ(M22, (M$2:M$11, M$13:M$40), 1)</f>
        <v>33</v>
      </c>
      <c r="O22" s="21">
        <f>AVERAGE('2. Expert 1'!H23, '3. Expert 2'!H23, '4. Expert 3'!H23)</f>
        <v>1.1833333333333333</v>
      </c>
      <c r="P22" s="22">
        <f>_xlfn.RANK.EQ(O22, (O$2:O$11, O$13:O$40), 1)</f>
        <v>38</v>
      </c>
      <c r="Q22" s="21">
        <f>AVERAGE('2. Expert 1'!I23, '3. Expert 2'!I23, '4. Expert 3'!I23, '5. Expert 4'!F23)</f>
        <v>3.5</v>
      </c>
      <c r="R22" s="22">
        <f>_xlfn.RANK.EQ(Q22, (Q$2:Q$11, Q$13:Q$40), 1)</f>
        <v>38</v>
      </c>
      <c r="S22" s="21">
        <f>AVERAGE('2. Expert 1'!J23, '3. Expert 2'!J23, '4. Expert 3'!J23, '5. Expert 4'!G23)</f>
        <v>2</v>
      </c>
      <c r="T22" s="22">
        <f>_xlfn.RANK.EQ(S22, (S$2:S$11, S$13:S$40), 1)</f>
        <v>15</v>
      </c>
      <c r="U22" s="20">
        <v>33.156999999999996</v>
      </c>
      <c r="V22" s="22">
        <f>_xlfn.RANK.EQ(U22, (U$2:U$11, U$13:U$40), 1)</f>
        <v>3</v>
      </c>
      <c r="W22" s="21">
        <f t="shared" si="2"/>
        <v>0.23122317057232764</v>
      </c>
      <c r="X22" s="29">
        <f>_xlfn.RANK.EQ(W22, (W$2:W$11, W$13:W$40), 1)</f>
        <v>9</v>
      </c>
    </row>
    <row r="23" spans="2:24" s="4" customFormat="1" x14ac:dyDescent="0.3">
      <c r="B23" s="28" t="s">
        <v>22</v>
      </c>
      <c r="C23" s="21">
        <f>AVERAGE('2. Expert 1'!C24, '3. Expert 2'!C24, '4. Expert 3'!C24, '5. Expert 4'!C24)</f>
        <v>3</v>
      </c>
      <c r="D23" s="22">
        <f>_xlfn.RANK.EQ(C23, (C$2:C$11, C$13:C$40), 1)</f>
        <v>35</v>
      </c>
      <c r="E23" s="21">
        <f>AVERAGE('2. Expert 1'!D24, '3. Expert 2'!D24, '4. Expert 3'!D24)</f>
        <v>229</v>
      </c>
      <c r="F23" s="22">
        <f>_xlfn.RANK.EQ(E23, (E$2:E$11, E$13:E$40), 1)</f>
        <v>24</v>
      </c>
      <c r="G23" s="21">
        <f t="shared" si="3"/>
        <v>104.09973294292899</v>
      </c>
      <c r="H23" s="23">
        <f t="shared" si="4"/>
        <v>0.78837259332633813</v>
      </c>
      <c r="I23" s="21">
        <f>AVERAGE('2. Expert 1'!E24, '3. Expert 2'!E24, '4. Expert 3'!E24, '5. Expert 4'!D24)</f>
        <v>1.5</v>
      </c>
      <c r="J23" s="22">
        <f>_xlfn.RANK.EQ(I23, (I$2:I$11, I$13:I$40), 1)</f>
        <v>15</v>
      </c>
      <c r="K23" s="21">
        <f>AVERAGE('2. Expert 1'!F24, '3. Expert 2'!F24, '4. Expert 3'!F24, '5. Expert 4'!E24)</f>
        <v>1</v>
      </c>
      <c r="L23" s="22">
        <f>_xlfn.RANK.EQ(K23, (K$2:K$11, K$13:K$40), 1)</f>
        <v>2</v>
      </c>
      <c r="M23" s="21">
        <f>AVERAGE('2. Expert 1'!G24, '3. Expert 2'!G24, '4. Expert 3'!G24)</f>
        <v>1.4133333333333333</v>
      </c>
      <c r="N23" s="22">
        <f>_xlfn.RANK.EQ(M23, (M$2:M$11, M$13:M$40), 1)</f>
        <v>32</v>
      </c>
      <c r="O23" s="21">
        <f>AVERAGE('2. Expert 1'!H24, '3. Expert 2'!H24, '4. Expert 3'!H24)</f>
        <v>0.82</v>
      </c>
      <c r="P23" s="22">
        <f>_xlfn.RANK.EQ(O23, (O$2:O$11, O$13:O$40), 1)</f>
        <v>20</v>
      </c>
      <c r="Q23" s="21">
        <f>AVERAGE('2. Expert 1'!I24, '3. Expert 2'!I24, '4. Expert 3'!I24, '5. Expert 4'!F24)</f>
        <v>3</v>
      </c>
      <c r="R23" s="22">
        <f>_xlfn.RANK.EQ(Q23, (Q$2:Q$11, Q$13:Q$40), 1)</f>
        <v>34</v>
      </c>
      <c r="S23" s="21">
        <f>AVERAGE('2. Expert 1'!J24, '3. Expert 2'!J24, '4. Expert 3'!J24, '5. Expert 4'!G24)</f>
        <v>2.25</v>
      </c>
      <c r="T23" s="22">
        <f>_xlfn.RANK.EQ(S23, (S$2:S$11, S$13:S$40), 1)</f>
        <v>28</v>
      </c>
      <c r="U23" s="20">
        <v>298.13499999999999</v>
      </c>
      <c r="V23" s="22">
        <f>_xlfn.RANK.EQ(U23, (U$2:U$11, U$13:U$40), 1)</f>
        <v>29</v>
      </c>
      <c r="W23" s="21">
        <f t="shared" si="2"/>
        <v>0.76810840726516516</v>
      </c>
      <c r="X23" s="29">
        <f>_xlfn.RANK.EQ(W23, (W$2:W$11, W$13:W$40), 1)</f>
        <v>22</v>
      </c>
    </row>
    <row r="24" spans="2:24" s="4" customFormat="1" x14ac:dyDescent="0.3">
      <c r="B24" s="28" t="s">
        <v>21</v>
      </c>
      <c r="C24" s="21">
        <f>AVERAGE('2. Expert 1'!C25, '3. Expert 2'!C25, '4. Expert 3'!C25, '5. Expert 4'!C25)</f>
        <v>2.25</v>
      </c>
      <c r="D24" s="22">
        <f>_xlfn.RANK.EQ(C24, (C$2:C$11, C$13:C$40), 1)</f>
        <v>29</v>
      </c>
      <c r="E24" s="21">
        <f>AVERAGE('2. Expert 1'!D25, '3. Expert 2'!D25, '4. Expert 3'!D25)</f>
        <v>29.333333333333332</v>
      </c>
      <c r="F24" s="22">
        <f>_xlfn.RANK.EQ(E24, (E$2:E$11, E$13:E$40), 1)</f>
        <v>9</v>
      </c>
      <c r="G24" s="21">
        <f t="shared" si="3"/>
        <v>6.6071955786232319</v>
      </c>
      <c r="H24" s="23">
        <f t="shared" si="4"/>
        <v>1.4905652314715119</v>
      </c>
      <c r="I24" s="21">
        <f>AVERAGE('2. Expert 1'!E25, '3. Expert 2'!E25, '4. Expert 3'!E25, '5. Expert 4'!D25)</f>
        <v>0.75</v>
      </c>
      <c r="J24" s="22">
        <f>_xlfn.RANK.EQ(I24, (I$2:I$11, I$13:I$40), 1)</f>
        <v>5</v>
      </c>
      <c r="K24" s="21">
        <f>AVERAGE('2. Expert 1'!F25, '3. Expert 2'!F25, '4. Expert 3'!F25, '5. Expert 4'!E25)</f>
        <v>1</v>
      </c>
      <c r="L24" s="22">
        <f>_xlfn.RANK.EQ(K24, (K$2:K$11, K$13:K$40), 1)</f>
        <v>2</v>
      </c>
      <c r="M24" s="21">
        <f>AVERAGE('2. Expert 1'!G25, '3. Expert 2'!G25, '4. Expert 3'!G25)</f>
        <v>1.37</v>
      </c>
      <c r="N24" s="22">
        <f>_xlfn.RANK.EQ(M24, (M$2:M$11, M$13:M$40), 1)</f>
        <v>30</v>
      </c>
      <c r="O24" s="21">
        <f>AVERAGE('2. Expert 1'!H25, '3. Expert 2'!H25, '4. Expert 3'!H25)</f>
        <v>0.52</v>
      </c>
      <c r="P24" s="22">
        <f>_xlfn.RANK.EQ(O24, (O$2:O$11, O$13:O$40), 1)</f>
        <v>11</v>
      </c>
      <c r="Q24" s="21">
        <f>AVERAGE('2. Expert 1'!I25, '3. Expert 2'!I25, '4. Expert 3'!I25, '5. Expert 4'!F25)</f>
        <v>3.25</v>
      </c>
      <c r="R24" s="22">
        <f>_xlfn.RANK.EQ(Q24, (Q$2:Q$11, Q$13:Q$40), 1)</f>
        <v>35</v>
      </c>
      <c r="S24" s="21">
        <f>AVERAGE('2. Expert 1'!J25, '3. Expert 2'!J25, '4. Expert 3'!J25, '5. Expert 4'!G25)</f>
        <v>2.25</v>
      </c>
      <c r="T24" s="22">
        <f>_xlfn.RANK.EQ(S24, (S$2:S$11, S$13:S$40), 1)</f>
        <v>28</v>
      </c>
      <c r="U24" s="20">
        <v>73.427000000000007</v>
      </c>
      <c r="V24" s="22">
        <f>_xlfn.RANK.EQ(U24, (U$2:U$11, U$13:U$40), 1)</f>
        <v>8</v>
      </c>
      <c r="W24" s="21">
        <f t="shared" si="2"/>
        <v>0.39948974264689185</v>
      </c>
      <c r="X24" s="29">
        <f>_xlfn.RANK.EQ(W24, (W$2:W$11, W$13:W$40), 1)</f>
        <v>16</v>
      </c>
    </row>
    <row r="25" spans="2:24" s="4" customFormat="1" x14ac:dyDescent="0.3">
      <c r="B25" s="28" t="s">
        <v>20</v>
      </c>
      <c r="C25" s="21">
        <f>AVERAGE('2. Expert 1'!C26, '3. Expert 2'!C26, '4. Expert 3'!C26, '5. Expert 4'!C26)</f>
        <v>1.75</v>
      </c>
      <c r="D25" s="22">
        <f>_xlfn.RANK.EQ(C25, (C$2:C$11, C$13:C$40), 1)</f>
        <v>16</v>
      </c>
      <c r="E25" s="21">
        <f>AVERAGE('2. Expert 1'!D26, '3. Expert 2'!D26, '4. Expert 3'!D26)</f>
        <v>27</v>
      </c>
      <c r="F25" s="22">
        <f>_xlfn.RANK.EQ(E25, (E$2:E$11, E$13:E$40), 1)</f>
        <v>8</v>
      </c>
      <c r="G25" s="21">
        <f t="shared" si="3"/>
        <v>5.9117915319605334</v>
      </c>
      <c r="H25" s="23">
        <f t="shared" si="4"/>
        <v>1.5188879448271424</v>
      </c>
      <c r="I25" s="21">
        <f>AVERAGE('2. Expert 1'!E26, '3. Expert 2'!E26, '4. Expert 3'!E26, '5. Expert 4'!D26)</f>
        <v>0.5</v>
      </c>
      <c r="J25" s="22">
        <f>_xlfn.RANK.EQ(I25, (I$2:I$11, I$13:I$40), 1)</f>
        <v>4</v>
      </c>
      <c r="K25" s="21">
        <f>AVERAGE('2. Expert 1'!F26, '3. Expert 2'!F26, '4. Expert 3'!F26, '5. Expert 4'!E26)</f>
        <v>1</v>
      </c>
      <c r="L25" s="22">
        <f>_xlfn.RANK.EQ(K25, (K$2:K$11, K$13:K$40), 1)</f>
        <v>2</v>
      </c>
      <c r="M25" s="21">
        <f>AVERAGE('2. Expert 1'!G26, '3. Expert 2'!G26, '4. Expert 3'!G26)</f>
        <v>1.4033333333333333</v>
      </c>
      <c r="N25" s="22">
        <f>_xlfn.RANK.EQ(M25, (M$2:M$11, M$13:M$40), 1)</f>
        <v>31</v>
      </c>
      <c r="O25" s="21">
        <f>AVERAGE('2. Expert 1'!H26, '3. Expert 2'!H26, '4. Expert 3'!H26)</f>
        <v>0.66500000000000004</v>
      </c>
      <c r="P25" s="22">
        <f>_xlfn.RANK.EQ(O25, (O$2:O$11, O$13:O$40), 1)</f>
        <v>17</v>
      </c>
      <c r="Q25" s="21">
        <f>AVERAGE('2. Expert 1'!I26, '3. Expert 2'!I26, '4. Expert 3'!I26, '5. Expert 4'!F26)</f>
        <v>3.25</v>
      </c>
      <c r="R25" s="22">
        <f>_xlfn.RANK.EQ(Q25, (Q$2:Q$11, Q$13:Q$40), 1)</f>
        <v>35</v>
      </c>
      <c r="S25" s="21">
        <f>AVERAGE('2. Expert 1'!J26, '3. Expert 2'!J26, '4. Expert 3'!J26, '5. Expert 4'!G26)</f>
        <v>2</v>
      </c>
      <c r="T25" s="22">
        <f>_xlfn.RANK.EQ(S25, (S$2:S$11, S$13:S$40), 1)</f>
        <v>15</v>
      </c>
      <c r="U25" s="20">
        <v>33.494</v>
      </c>
      <c r="V25" s="22">
        <f>_xlfn.RANK.EQ(U25, (U$2:U$11, U$13:U$40), 1)</f>
        <v>4</v>
      </c>
      <c r="W25" s="21">
        <f t="shared" si="2"/>
        <v>0.8061145279751597</v>
      </c>
      <c r="X25" s="29">
        <f>_xlfn.RANK.EQ(W25, (W$2:W$11, W$13:W$40), 1)</f>
        <v>23</v>
      </c>
    </row>
    <row r="26" spans="2:24" s="4" customFormat="1" x14ac:dyDescent="0.3">
      <c r="B26" s="28" t="s">
        <v>19</v>
      </c>
      <c r="C26" s="21">
        <f>AVERAGE('2. Expert 1'!C27, '3. Expert 2'!C27, '4. Expert 3'!C27, '5. Expert 4'!C27)</f>
        <v>0.25</v>
      </c>
      <c r="D26" s="22">
        <f>_xlfn.RANK.EQ(C26, (C$2:C$11, C$13:C$40), 1)</f>
        <v>1</v>
      </c>
      <c r="E26" s="21">
        <f>AVERAGE('2. Expert 1'!D27, '3. Expert 2'!D27, '4. Expert 3'!D27)</f>
        <v>9.6666666666666661</v>
      </c>
      <c r="F26" s="22">
        <f>_xlfn.RANK.EQ(E26, (E$2:E$11, E$13:E$40), 1)</f>
        <v>5</v>
      </c>
      <c r="G26" s="21">
        <f t="shared" si="3"/>
        <v>1.4900613676418224</v>
      </c>
      <c r="H26" s="23">
        <f t="shared" si="4"/>
        <v>1.8698662358723368</v>
      </c>
      <c r="I26" s="21">
        <f>AVERAGE('2. Expert 1'!E27, '3. Expert 2'!E27, '4. Expert 3'!E27, '5. Expert 4'!D27)</f>
        <v>0.25</v>
      </c>
      <c r="J26" s="22">
        <f>_xlfn.RANK.EQ(I26, (I$2:I$11, I$13:I$40), 1)</f>
        <v>1</v>
      </c>
      <c r="K26" s="21">
        <f>AVERAGE('2. Expert 1'!F27, '3. Expert 2'!F27, '4. Expert 3'!F27, '5. Expert 4'!E27)</f>
        <v>1</v>
      </c>
      <c r="L26" s="22">
        <f>_xlfn.RANK.EQ(K26, (K$2:K$11, K$13:K$40), 1)</f>
        <v>2</v>
      </c>
      <c r="M26" s="21">
        <f>AVERAGE('2. Expert 1'!G27, '3. Expert 2'!G27, '4. Expert 3'!G27)</f>
        <v>1.21</v>
      </c>
      <c r="N26" s="22">
        <f>_xlfn.RANK.EQ(M26, (M$2:M$11, M$13:M$40), 1)</f>
        <v>21</v>
      </c>
      <c r="O26" s="21">
        <f>AVERAGE('2. Expert 1'!H27, '3. Expert 2'!H27, '4. Expert 3'!H27)</f>
        <v>1.0233333333333332</v>
      </c>
      <c r="P26" s="22">
        <f>_xlfn.RANK.EQ(O26, (O$2:O$11, O$13:O$40), 1)</f>
        <v>27</v>
      </c>
      <c r="Q26" s="21">
        <f>AVERAGE('2. Expert 1'!I27, '3. Expert 2'!I27, '4. Expert 3'!I27, '5. Expert 4'!F27)</f>
        <v>1.25</v>
      </c>
      <c r="R26" s="22">
        <f>_xlfn.RANK.EQ(Q26, (Q$2:Q$11, Q$13:Q$40), 1)</f>
        <v>1</v>
      </c>
      <c r="S26" s="21">
        <f>AVERAGE('2. Expert 1'!J27, '3. Expert 2'!J27, '4. Expert 3'!J27, '5. Expert 4'!G27)</f>
        <v>1.5</v>
      </c>
      <c r="T26" s="22">
        <f>_xlfn.RANK.EQ(S26, (S$2:S$11, S$13:S$40), 1)</f>
        <v>2</v>
      </c>
      <c r="U26" s="20">
        <v>103.566</v>
      </c>
      <c r="V26" s="22">
        <f>_xlfn.RANK.EQ(U26, (U$2:U$11, U$13:U$40), 1)</f>
        <v>12</v>
      </c>
      <c r="W26" s="21">
        <f t="shared" si="2"/>
        <v>9.3338225543775619E-2</v>
      </c>
      <c r="X26" s="29">
        <f>_xlfn.RANK.EQ(W26, (W$2:W$11, W$13:W$40), 1)</f>
        <v>2</v>
      </c>
    </row>
    <row r="27" spans="2:24" s="4" customFormat="1" x14ac:dyDescent="0.3">
      <c r="B27" s="28" t="s">
        <v>18</v>
      </c>
      <c r="C27" s="21">
        <f>AVERAGE('2. Expert 1'!C28, '3. Expert 2'!C28, '4. Expert 3'!C28, '5. Expert 4'!C28)</f>
        <v>0.5</v>
      </c>
      <c r="D27" s="22">
        <f>_xlfn.RANK.EQ(C27, (C$2:C$11, C$13:C$40), 1)</f>
        <v>3</v>
      </c>
      <c r="E27" s="21">
        <f>AVERAGE('2. Expert 1'!D28, '3. Expert 2'!D28, '4. Expert 3'!D28)</f>
        <v>53.333333333333336</v>
      </c>
      <c r="F27" s="22">
        <f>_xlfn.RANK.EQ(E27, (E$2:E$11, E$13:E$40), 1)</f>
        <v>15</v>
      </c>
      <c r="G27" s="21">
        <f t="shared" si="3"/>
        <v>14.735760081297627</v>
      </c>
      <c r="H27" s="23">
        <f t="shared" si="4"/>
        <v>1.2862843283133167</v>
      </c>
      <c r="I27" s="21">
        <f>AVERAGE('2. Expert 1'!E28, '3. Expert 2'!E28, '4. Expert 3'!E28, '5. Expert 4'!D28)</f>
        <v>1.25</v>
      </c>
      <c r="J27" s="22">
        <f>_xlfn.RANK.EQ(I27, (I$2:I$11, I$13:I$40), 1)</f>
        <v>12</v>
      </c>
      <c r="K27" s="21">
        <f>AVERAGE('2. Expert 1'!F28, '3. Expert 2'!F28, '4. Expert 3'!F28, '5. Expert 4'!E28)</f>
        <v>1</v>
      </c>
      <c r="L27" s="22">
        <f>_xlfn.RANK.EQ(K27, (K$2:K$11, K$13:K$40), 1)</f>
        <v>2</v>
      </c>
      <c r="M27" s="21">
        <f>AVERAGE('2. Expert 1'!G28, '3. Expert 2'!G28, '4. Expert 3'!G28)</f>
        <v>1.2233333333333334</v>
      </c>
      <c r="N27" s="22">
        <f>_xlfn.RANK.EQ(M27, (M$2:M$11, M$13:M$40), 1)</f>
        <v>23</v>
      </c>
      <c r="O27" s="21">
        <f>AVERAGE('2. Expert 1'!H28, '3. Expert 2'!H28, '4. Expert 3'!H28)</f>
        <v>1.04</v>
      </c>
      <c r="P27" s="22">
        <f>_xlfn.RANK.EQ(O27, (O$2:O$11, O$13:O$40), 1)</f>
        <v>29</v>
      </c>
      <c r="Q27" s="21">
        <f>AVERAGE('2. Expert 1'!I28, '3. Expert 2'!I28, '4. Expert 3'!I28, '5. Expert 4'!F28)</f>
        <v>1.5</v>
      </c>
      <c r="R27" s="22">
        <f>_xlfn.RANK.EQ(Q27, (Q$2:Q$11, Q$13:Q$40), 1)</f>
        <v>7</v>
      </c>
      <c r="S27" s="21">
        <f>AVERAGE('2. Expert 1'!J28, '3. Expert 2'!J28, '4. Expert 3'!J28, '5. Expert 4'!G28)</f>
        <v>2.25</v>
      </c>
      <c r="T27" s="22">
        <f>_xlfn.RANK.EQ(S27, (S$2:S$11, S$13:S$40), 1)</f>
        <v>28</v>
      </c>
      <c r="U27" s="20">
        <v>147.08099999999999</v>
      </c>
      <c r="V27" s="22">
        <f>_xlfn.RANK.EQ(U27, (U$2:U$11, U$13:U$40), 1)</f>
        <v>17</v>
      </c>
      <c r="W27" s="21">
        <f t="shared" si="2"/>
        <v>0.36261198477936196</v>
      </c>
      <c r="X27" s="29">
        <f>_xlfn.RANK.EQ(W27, (W$2:W$11, W$13:W$40), 1)</f>
        <v>13</v>
      </c>
    </row>
    <row r="28" spans="2:24" s="4" customFormat="1" x14ac:dyDescent="0.3">
      <c r="B28" s="28" t="s">
        <v>17</v>
      </c>
      <c r="C28" s="21">
        <f>AVERAGE('2. Expert 1'!C29, '3. Expert 2'!C29, '4. Expert 3'!C29, '5. Expert 4'!C29)</f>
        <v>0.5</v>
      </c>
      <c r="D28" s="22">
        <f>_xlfn.RANK.EQ(C28, (C$2:C$11, C$13:C$40), 1)</f>
        <v>3</v>
      </c>
      <c r="E28" s="21">
        <f>AVERAGE('2. Expert 1'!D29, '3. Expert 2'!D29, '4. Expert 3'!D29)</f>
        <v>53.333333333333336</v>
      </c>
      <c r="F28" s="22">
        <f>_xlfn.RANK.EQ(E28, (E$2:E$11, E$13:E$40), 1)</f>
        <v>15</v>
      </c>
      <c r="G28" s="21">
        <f t="shared" si="3"/>
        <v>14.735760081297627</v>
      </c>
      <c r="H28" s="23">
        <f t="shared" si="4"/>
        <v>1.2862843283133167</v>
      </c>
      <c r="I28" s="21">
        <f>AVERAGE('2. Expert 1'!E29, '3. Expert 2'!E29, '4. Expert 3'!E29, '5. Expert 4'!D29)</f>
        <v>1.5</v>
      </c>
      <c r="J28" s="22">
        <f>_xlfn.RANK.EQ(I28, (I$2:I$11, I$13:I$40), 1)</f>
        <v>15</v>
      </c>
      <c r="K28" s="21">
        <f>AVERAGE('2. Expert 1'!F29, '3. Expert 2'!F29, '4. Expert 3'!F29, '5. Expert 4'!E29)</f>
        <v>1</v>
      </c>
      <c r="L28" s="22">
        <f>_xlfn.RANK.EQ(K28, (K$2:K$11, K$13:K$40), 1)</f>
        <v>2</v>
      </c>
      <c r="M28" s="21">
        <f>AVERAGE('2. Expert 1'!G29, '3. Expert 2'!G29, '4. Expert 3'!G29)</f>
        <v>1.1916666666666667</v>
      </c>
      <c r="N28" s="22">
        <f>_xlfn.RANK.EQ(M28, (M$2:M$11, M$13:M$40), 1)</f>
        <v>16</v>
      </c>
      <c r="O28" s="21">
        <f>AVERAGE('2. Expert 1'!H29, '3. Expert 2'!H29, '4. Expert 3'!H29)</f>
        <v>1.1033333333333333</v>
      </c>
      <c r="P28" s="22">
        <f>_xlfn.RANK.EQ(O28, (O$2:O$11, O$13:O$40), 1)</f>
        <v>35</v>
      </c>
      <c r="Q28" s="21">
        <f>AVERAGE('2. Expert 1'!I29, '3. Expert 2'!I29, '4. Expert 3'!I29, '5. Expert 4'!F29)</f>
        <v>1.5</v>
      </c>
      <c r="R28" s="22">
        <f>_xlfn.RANK.EQ(Q28, (Q$2:Q$11, Q$13:Q$40), 1)</f>
        <v>7</v>
      </c>
      <c r="S28" s="21">
        <f>AVERAGE('2. Expert 1'!J29, '3. Expert 2'!J29, '4. Expert 3'!J29, '5. Expert 4'!G29)</f>
        <v>2.25</v>
      </c>
      <c r="T28" s="22">
        <f>_xlfn.RANK.EQ(S28, (S$2:S$11, S$13:S$40), 1)</f>
        <v>28</v>
      </c>
      <c r="U28" s="20">
        <v>236.732</v>
      </c>
      <c r="V28" s="22">
        <f>_xlfn.RANK.EQ(U28, (U$2:U$11, U$13:U$40), 1)</f>
        <v>25</v>
      </c>
      <c r="W28" s="21">
        <f t="shared" si="2"/>
        <v>0.22528991996575595</v>
      </c>
      <c r="X28" s="29">
        <f>_xlfn.RANK.EQ(W28, (W$2:W$11, W$13:W$40), 1)</f>
        <v>8</v>
      </c>
    </row>
    <row r="29" spans="2:24" s="4" customFormat="1" x14ac:dyDescent="0.3">
      <c r="B29" s="28" t="s">
        <v>16</v>
      </c>
      <c r="C29" s="21">
        <f>AVERAGE('2. Expert 1'!C30, '3. Expert 2'!C30, '4. Expert 3'!C30, '5. Expert 4'!C30)</f>
        <v>1</v>
      </c>
      <c r="D29" s="22">
        <f>_xlfn.RANK.EQ(C29, (C$2:C$11, C$13:C$40), 1)</f>
        <v>11</v>
      </c>
      <c r="E29" s="21">
        <f>AVERAGE('2. Expert 1'!D30, '3. Expert 2'!D30, '4. Expert 3'!D30)</f>
        <v>31.333333333333332</v>
      </c>
      <c r="F29" s="22">
        <f>_xlfn.RANK.EQ(E29, (E$2:E$11, E$13:E$40), 1)</f>
        <v>10</v>
      </c>
      <c r="G29" s="21">
        <f t="shared" si="3"/>
        <v>7.2185572042196213</v>
      </c>
      <c r="H29" s="23">
        <f t="shared" si="4"/>
        <v>1.4680273938770545</v>
      </c>
      <c r="I29" s="21">
        <f>AVERAGE('2. Expert 1'!E30, '3. Expert 2'!E30, '4. Expert 3'!E30, '5. Expert 4'!D30)</f>
        <v>1.5</v>
      </c>
      <c r="J29" s="22">
        <f>_xlfn.RANK.EQ(I29, (I$2:I$11, I$13:I$40), 1)</f>
        <v>15</v>
      </c>
      <c r="K29" s="21">
        <f>AVERAGE('2. Expert 1'!F30, '3. Expert 2'!F30, '4. Expert 3'!F30, '5. Expert 4'!E30)</f>
        <v>1</v>
      </c>
      <c r="L29" s="22">
        <f>_xlfn.RANK.EQ(K29, (K$2:K$11, K$13:K$40), 1)</f>
        <v>2</v>
      </c>
      <c r="M29" s="21">
        <f>AVERAGE('2. Expert 1'!G30, '3. Expert 2'!G30, '4. Expert 3'!G30)</f>
        <v>1.2166666666666666</v>
      </c>
      <c r="N29" s="22">
        <f>_xlfn.RANK.EQ(M29, (M$2:M$11, M$13:M$40), 1)</f>
        <v>22</v>
      </c>
      <c r="O29" s="21">
        <f>AVERAGE('2. Expert 1'!H30, '3. Expert 2'!H30, '4. Expert 3'!H30)</f>
        <v>1.0766666666666664</v>
      </c>
      <c r="P29" s="22">
        <f>_xlfn.RANK.EQ(O29, (O$2:O$11, O$13:O$40), 1)</f>
        <v>30</v>
      </c>
      <c r="Q29" s="21">
        <f>AVERAGE('2. Expert 1'!I30, '3. Expert 2'!I30, '4. Expert 3'!I30, '5. Expert 4'!F30)</f>
        <v>2.25</v>
      </c>
      <c r="R29" s="22">
        <f>_xlfn.RANK.EQ(Q29, (Q$2:Q$11, Q$13:Q$40), 1)</f>
        <v>28</v>
      </c>
      <c r="S29" s="21">
        <f>AVERAGE('2. Expert 1'!J30, '3. Expert 2'!J30, '4. Expert 3'!J30, '5. Expert 4'!G30)</f>
        <v>2</v>
      </c>
      <c r="T29" s="22">
        <f>_xlfn.RANK.EQ(S29, (S$2:S$11, S$13:S$40), 1)</f>
        <v>15</v>
      </c>
      <c r="U29" s="20">
        <v>187.714</v>
      </c>
      <c r="V29" s="22">
        <f>_xlfn.RANK.EQ(U29, (U$2:U$11, U$13:U$40), 1)</f>
        <v>21</v>
      </c>
      <c r="W29" s="21">
        <f t="shared" si="2"/>
        <v>0.16692059906737555</v>
      </c>
      <c r="X29" s="29">
        <f>_xlfn.RANK.EQ(W29, (W$2:W$11, W$13:W$40), 1)</f>
        <v>5</v>
      </c>
    </row>
    <row r="30" spans="2:24" s="4" customFormat="1" x14ac:dyDescent="0.3">
      <c r="B30" s="28" t="s">
        <v>15</v>
      </c>
      <c r="C30" s="21">
        <f>AVERAGE('2. Expert 1'!C31, '3. Expert 2'!C31, '4. Expert 3'!C31, '5. Expert 4'!C31)</f>
        <v>0.75</v>
      </c>
      <c r="D30" s="22">
        <f>_xlfn.RANK.EQ(C30, (C$2:C$11, C$13:C$40), 1)</f>
        <v>8</v>
      </c>
      <c r="E30" s="21">
        <f>AVERAGE('2. Expert 1'!D31, '3. Expert 2'!D31, '4. Expert 3'!D31)</f>
        <v>41.333333333333336</v>
      </c>
      <c r="F30" s="22">
        <f>_xlfn.RANK.EQ(E30, (E$2:E$11, E$13:E$40), 1)</f>
        <v>14</v>
      </c>
      <c r="G30" s="21">
        <f t="shared" si="3"/>
        <v>10.467636580980653</v>
      </c>
      <c r="H30" s="23">
        <f t="shared" si="4"/>
        <v>1.3733810100114741</v>
      </c>
      <c r="I30" s="21">
        <f>AVERAGE('2. Expert 1'!E31, '3. Expert 2'!E31, '4. Expert 3'!E31, '5. Expert 4'!D31)</f>
        <v>1</v>
      </c>
      <c r="J30" s="22">
        <f>_xlfn.RANK.EQ(I30, (I$2:I$11, I$13:I$40), 1)</f>
        <v>7</v>
      </c>
      <c r="K30" s="21">
        <f>AVERAGE('2. Expert 1'!F31, '3. Expert 2'!F31, '4. Expert 3'!F31, '5. Expert 4'!E31)</f>
        <v>1</v>
      </c>
      <c r="L30" s="22">
        <f>_xlfn.RANK.EQ(K30, (K$2:K$11, K$13:K$40), 1)</f>
        <v>2</v>
      </c>
      <c r="M30" s="21">
        <f>AVERAGE('2. Expert 1'!G31, '3. Expert 2'!G31, '4. Expert 3'!G31)</f>
        <v>1.2333333333333332</v>
      </c>
      <c r="N30" s="22">
        <f>_xlfn.RANK.EQ(M30, (M$2:M$11, M$13:M$40), 1)</f>
        <v>25</v>
      </c>
      <c r="O30" s="21">
        <f>AVERAGE('2. Expert 1'!H31, '3. Expert 2'!H31, '4. Expert 3'!H31)</f>
        <v>1.0766666666666669</v>
      </c>
      <c r="P30" s="22">
        <f>_xlfn.RANK.EQ(O30, (O$2:O$11, O$13:O$40), 1)</f>
        <v>31</v>
      </c>
      <c r="Q30" s="21">
        <f>AVERAGE('2. Expert 1'!I31, '3. Expert 2'!I31, '4. Expert 3'!I31, '5. Expert 4'!F31)</f>
        <v>2</v>
      </c>
      <c r="R30" s="22">
        <f>_xlfn.RANK.EQ(Q30, (Q$2:Q$11, Q$13:Q$40), 1)</f>
        <v>26</v>
      </c>
      <c r="S30" s="21">
        <f>AVERAGE('2. Expert 1'!J31, '3. Expert 2'!J31, '4. Expert 3'!J31, '5. Expert 4'!G31)</f>
        <v>2</v>
      </c>
      <c r="T30" s="22">
        <f>_xlfn.RANK.EQ(S30, (S$2:S$11, S$13:S$40), 1)</f>
        <v>15</v>
      </c>
      <c r="U30" s="20">
        <v>125.85</v>
      </c>
      <c r="V30" s="22">
        <f>_xlfn.RANK.EQ(U30, (U$2:U$11, U$13:U$40), 1)</f>
        <v>15</v>
      </c>
      <c r="W30" s="21">
        <f t="shared" si="2"/>
        <v>0.32843332009005433</v>
      </c>
      <c r="X30" s="29">
        <f>_xlfn.RANK.EQ(W30, (W$2:W$11, W$13:W$40), 1)</f>
        <v>12</v>
      </c>
    </row>
    <row r="31" spans="2:24" s="4" customFormat="1" x14ac:dyDescent="0.3">
      <c r="B31" s="28" t="s">
        <v>3</v>
      </c>
      <c r="C31" s="21">
        <f>AVERAGE('2. Expert 1'!C32, '3. Expert 2'!C32, '4. Expert 3'!C32, '5. Expert 4'!C32)</f>
        <v>0.25</v>
      </c>
      <c r="D31" s="22">
        <f>_xlfn.RANK.EQ(C31, (C$2:C$11, C$13:C$40), 1)</f>
        <v>1</v>
      </c>
      <c r="E31" s="21">
        <f>AVERAGE('2. Expert 1'!D32, '3. Expert 2'!D32, '4. Expert 3'!D32)</f>
        <v>38.666666666666664</v>
      </c>
      <c r="F31" s="22">
        <f>_xlfn.RANK.EQ(E31, (E$2:E$11, E$13:E$40), 1)</f>
        <v>12</v>
      </c>
      <c r="G31" s="21">
        <f t="shared" si="3"/>
        <v>9.571677234868682</v>
      </c>
      <c r="H31" s="23">
        <f t="shared" si="4"/>
        <v>1.3961694526776709</v>
      </c>
      <c r="I31" s="21">
        <f>AVERAGE('2. Expert 1'!E32, '3. Expert 2'!E32, '4. Expert 3'!E32, '5. Expert 4'!D32)</f>
        <v>1</v>
      </c>
      <c r="J31" s="22">
        <f>_xlfn.RANK.EQ(I31, (I$2:I$11, I$13:I$40), 1)</f>
        <v>7</v>
      </c>
      <c r="K31" s="21">
        <f>AVERAGE('2. Expert 1'!F32, '3. Expert 2'!F32, '4. Expert 3'!F32, '5. Expert 4'!E32)</f>
        <v>1</v>
      </c>
      <c r="L31" s="22">
        <f>_xlfn.RANK.EQ(K31, (K$2:K$11, K$13:K$40), 1)</f>
        <v>2</v>
      </c>
      <c r="M31" s="21">
        <f>AVERAGE('2. Expert 1'!G32, '3. Expert 2'!G32, '4. Expert 3'!G32)</f>
        <v>1.1933333333333334</v>
      </c>
      <c r="N31" s="22">
        <f>_xlfn.RANK.EQ(M31, (M$2:M$11, M$13:M$40), 1)</f>
        <v>17</v>
      </c>
      <c r="O31" s="21">
        <f>AVERAGE('2. Expert 1'!H32, '3. Expert 2'!H32, '4. Expert 3'!H32)</f>
        <v>1.0866666666666667</v>
      </c>
      <c r="P31" s="22">
        <f>_xlfn.RANK.EQ(O31, (O$2:O$11, O$13:O$40), 1)</f>
        <v>32</v>
      </c>
      <c r="Q31" s="21">
        <f>AVERAGE('2. Expert 1'!I32, '3. Expert 2'!I32, '4. Expert 3'!I32, '5. Expert 4'!F32)</f>
        <v>1.75</v>
      </c>
      <c r="R31" s="22">
        <f>_xlfn.RANK.EQ(Q31, (Q$2:Q$11, Q$13:Q$40), 1)</f>
        <v>19</v>
      </c>
      <c r="S31" s="21">
        <f>AVERAGE('2. Expert 1'!J32, '3. Expert 2'!J32, '4. Expert 3'!J32, '5. Expert 4'!G32)</f>
        <v>2</v>
      </c>
      <c r="T31" s="22">
        <f>_xlfn.RANK.EQ(S31, (S$2:S$11, S$13:S$40), 1)</f>
        <v>15</v>
      </c>
      <c r="U31" s="20">
        <v>326.51100000000002</v>
      </c>
      <c r="V31" s="22">
        <f>_xlfn.RANK.EQ(U31, (U$2:U$11, U$13:U$40), 1)</f>
        <v>31</v>
      </c>
      <c r="W31" s="21">
        <f t="shared" si="2"/>
        <v>0.11842377949492257</v>
      </c>
      <c r="X31" s="29">
        <f>_xlfn.RANK.EQ(W31, (W$2:W$11, W$13:W$40), 1)</f>
        <v>3</v>
      </c>
    </row>
    <row r="32" spans="2:24" s="4" customFormat="1" x14ac:dyDescent="0.3">
      <c r="B32" s="28" t="s">
        <v>2</v>
      </c>
      <c r="C32" s="21">
        <f>AVERAGE('2. Expert 1'!C33, '3. Expert 2'!C33, '4. Expert 3'!C33, '5. Expert 4'!C33)</f>
        <v>1.25</v>
      </c>
      <c r="D32" s="22">
        <f>_xlfn.RANK.EQ(C32, (C$2:C$11, C$13:C$40), 1)</f>
        <v>13</v>
      </c>
      <c r="E32" s="21">
        <f>AVERAGE('2. Expert 1'!D33, '3. Expert 2'!D33, '4. Expert 3'!D33)</f>
        <v>32.333333333333336</v>
      </c>
      <c r="F32" s="22">
        <f>_xlfn.RANK.EQ(E32, (E$2:E$11, E$13:E$40), 1)</f>
        <v>11</v>
      </c>
      <c r="G32" s="21">
        <f t="shared" si="3"/>
        <v>7.5293311277561319</v>
      </c>
      <c r="H32" s="23">
        <f t="shared" si="4"/>
        <v>1.4572924796241091</v>
      </c>
      <c r="I32" s="21">
        <f>AVERAGE('2. Expert 1'!E33, '3. Expert 2'!E33, '4. Expert 3'!E33, '5. Expert 4'!D33)</f>
        <v>1.25</v>
      </c>
      <c r="J32" s="22">
        <f>_xlfn.RANK.EQ(I32, (I$2:I$11, I$13:I$40), 1)</f>
        <v>12</v>
      </c>
      <c r="K32" s="21">
        <f>AVERAGE('2. Expert 1'!F33, '3. Expert 2'!F33, '4. Expert 3'!F33, '5. Expert 4'!E33)</f>
        <v>1</v>
      </c>
      <c r="L32" s="22">
        <f>_xlfn.RANK.EQ(K32, (K$2:K$11, K$13:K$40), 1)</f>
        <v>2</v>
      </c>
      <c r="M32" s="21">
        <f>AVERAGE('2. Expert 1'!G33, '3. Expert 2'!G33, '4. Expert 3'!G33)</f>
        <v>2.02</v>
      </c>
      <c r="N32" s="22">
        <f>_xlfn.RANK.EQ(M32, (M$2:M$11, M$13:M$40), 1)</f>
        <v>37</v>
      </c>
      <c r="O32" s="21">
        <f>AVERAGE('2. Expert 1'!H33, '3. Expert 2'!H33, '4. Expert 3'!H33)</f>
        <v>1.1233333333333333</v>
      </c>
      <c r="P32" s="22">
        <f>_xlfn.RANK.EQ(O32, (O$2:O$11, O$13:O$40), 1)</f>
        <v>36</v>
      </c>
      <c r="Q32" s="21">
        <f>AVERAGE('2. Expert 1'!I33, '3. Expert 2'!I33, '4. Expert 3'!I33, '5. Expert 4'!F33)</f>
        <v>1.75</v>
      </c>
      <c r="R32" s="22">
        <f>_xlfn.RANK.EQ(Q32, (Q$2:Q$11, Q$13:Q$40), 1)</f>
        <v>19</v>
      </c>
      <c r="S32" s="21">
        <f>AVERAGE('2. Expert 1'!J33, '3. Expert 2'!J33, '4. Expert 3'!J33, '5. Expert 4'!G33)</f>
        <v>2.5</v>
      </c>
      <c r="T32" s="22">
        <f>_xlfn.RANK.EQ(S32, (S$2:S$11, S$13:S$40), 1)</f>
        <v>33</v>
      </c>
      <c r="U32" s="20">
        <v>155.73699999999999</v>
      </c>
      <c r="V32" s="22">
        <f>_xlfn.RANK.EQ(U32, (U$2:U$11, U$13:U$40), 1)</f>
        <v>18</v>
      </c>
      <c r="W32" s="21">
        <f t="shared" si="2"/>
        <v>0.20761497481865798</v>
      </c>
      <c r="X32" s="29">
        <f>_xlfn.RANK.EQ(W32, (W$2:W$11, W$13:W$40), 1)</f>
        <v>7</v>
      </c>
    </row>
    <row r="33" spans="2:24" s="4" customFormat="1" x14ac:dyDescent="0.3">
      <c r="B33" s="28" t="s">
        <v>14</v>
      </c>
      <c r="C33" s="21">
        <f>AVERAGE('2. Expert 1'!C34, '3. Expert 2'!C34, '4. Expert 3'!C34, '5. Expert 4'!C34)</f>
        <v>2</v>
      </c>
      <c r="D33" s="22">
        <f>_xlfn.RANK.EQ(C33, (C$2:C$11, C$13:C$40), 1)</f>
        <v>23</v>
      </c>
      <c r="E33" s="21">
        <f>AVERAGE('2. Expert 1'!D34, '3. Expert 2'!D34, '4. Expert 3'!D34)</f>
        <v>238.33333333333334</v>
      </c>
      <c r="F33" s="22">
        <f>_xlfn.RANK.EQ(E33, (E$2:E$11, E$13:E$40), 1)</f>
        <v>26</v>
      </c>
      <c r="G33" s="21">
        <f t="shared" si="3"/>
        <v>109.83156641601741</v>
      </c>
      <c r="H33" s="23">
        <f t="shared" si="4"/>
        <v>0.77472227614017264</v>
      </c>
      <c r="I33" s="21">
        <f>AVERAGE('2. Expert 1'!E34, '3. Expert 2'!E34, '4. Expert 3'!E34, '5. Expert 4'!D34)</f>
        <v>2</v>
      </c>
      <c r="J33" s="22">
        <f>_xlfn.RANK.EQ(I33, (I$2:I$11, I$13:I$40), 1)</f>
        <v>25</v>
      </c>
      <c r="K33" s="21">
        <f>AVERAGE('2. Expert 1'!F34, '3. Expert 2'!F34, '4. Expert 3'!F34, '5. Expert 4'!E34)</f>
        <v>1</v>
      </c>
      <c r="L33" s="22">
        <f>_xlfn.RANK.EQ(K33, (K$2:K$11, K$13:K$40), 1)</f>
        <v>2</v>
      </c>
      <c r="M33" s="21">
        <f>AVERAGE('2. Expert 1'!G34, '3. Expert 2'!G34, '4. Expert 3'!G34)</f>
        <v>1.19</v>
      </c>
      <c r="N33" s="22">
        <f>_xlfn.RANK.EQ(M33, (M$2:M$11, M$13:M$40), 1)</f>
        <v>15</v>
      </c>
      <c r="O33" s="21">
        <f>AVERAGE('2. Expert 1'!H34, '3. Expert 2'!H34, '4. Expert 3'!H34)</f>
        <v>0.45499999999999996</v>
      </c>
      <c r="P33" s="22">
        <f>_xlfn.RANK.EQ(O33, (O$2:O$11, O$13:O$40), 1)</f>
        <v>8</v>
      </c>
      <c r="Q33" s="21">
        <f>AVERAGE('2. Expert 1'!I34, '3. Expert 2'!I34, '4. Expert 3'!I34, '5. Expert 4'!F34)</f>
        <v>1.25</v>
      </c>
      <c r="R33" s="22">
        <f>_xlfn.RANK.EQ(Q33, (Q$2:Q$11, Q$13:Q$40), 1)</f>
        <v>1</v>
      </c>
      <c r="S33" s="21">
        <f>AVERAGE('2. Expert 1'!J34, '3. Expert 2'!J34, '4. Expert 3'!J34, '5. Expert 4'!G34)</f>
        <v>2.5</v>
      </c>
      <c r="T33" s="22">
        <f>_xlfn.RANK.EQ(S33, (S$2:S$11, S$13:S$40), 1)</f>
        <v>33</v>
      </c>
      <c r="U33" s="20">
        <v>209.58600000000001</v>
      </c>
      <c r="V33" s="22">
        <f>_xlfn.RANK.EQ(U33, (U$2:U$11, U$13:U$40), 1)</f>
        <v>23</v>
      </c>
      <c r="W33" s="21">
        <f t="shared" si="2"/>
        <v>1.1371624695033702</v>
      </c>
      <c r="X33" s="29">
        <f>_xlfn.RANK.EQ(W33, (W$2:W$11, W$13:W$40), 1)</f>
        <v>27</v>
      </c>
    </row>
    <row r="34" spans="2:24" s="4" customFormat="1" x14ac:dyDescent="0.3">
      <c r="B34" s="28" t="s">
        <v>13</v>
      </c>
      <c r="C34" s="21">
        <f>AVERAGE('2. Expert 1'!C35, '3. Expert 2'!C35, '4. Expert 3'!C35, '5. Expert 4'!C35)</f>
        <v>2.75</v>
      </c>
      <c r="D34" s="22">
        <f>_xlfn.RANK.EQ(C34, (C$2:C$11, C$13:C$40), 1)</f>
        <v>32</v>
      </c>
      <c r="E34" s="21">
        <f>AVERAGE('2. Expert 1'!D35)</f>
        <v>3978</v>
      </c>
      <c r="F34" s="22">
        <f>_xlfn.RANK.EQ(E34, (E$2:E$11, E$13:E$40), 1)</f>
        <v>38</v>
      </c>
      <c r="G34" s="21">
        <f t="shared" si="3"/>
        <v>4796.545653289043</v>
      </c>
      <c r="H34" s="23">
        <f t="shared" si="4"/>
        <v>-0.18711682284091147</v>
      </c>
      <c r="I34" s="21">
        <f>AVERAGE('2. Expert 1'!E35, '3. Expert 2'!E35, '4. Expert 3'!E35, '5. Expert 4'!D35)</f>
        <v>2.5</v>
      </c>
      <c r="J34" s="22">
        <f>_xlfn.RANK.EQ(I34, (I$2:I$11, I$13:I$40), 1)</f>
        <v>33</v>
      </c>
      <c r="K34" s="21">
        <f>AVERAGE('2. Expert 1'!F35, '3. Expert 2'!F35, '4. Expert 3'!F35, '5. Expert 4'!E35)</f>
        <v>1.5</v>
      </c>
      <c r="L34" s="22">
        <f>_xlfn.RANK.EQ(K34, (K$2:K$11, K$13:K$40), 1)</f>
        <v>38</v>
      </c>
      <c r="M34" s="21">
        <f>AVERAGE('2. Expert 1'!G35, '3. Expert 2'!G35, '4. Expert 3'!G35)</f>
        <v>2.0233333333333334</v>
      </c>
      <c r="N34" s="22">
        <f>_xlfn.RANK.EQ(M34, (M$2:M$11, M$13:M$40), 1)</f>
        <v>38</v>
      </c>
      <c r="O34" s="21">
        <f>AVERAGE('2. Expert 1'!H35, '3. Expert 2'!H35, '4. Expert 3'!H35)</f>
        <v>0.71666666666666667</v>
      </c>
      <c r="P34" s="22">
        <f>_xlfn.RANK.EQ(O34, (O$2:O$11, O$13:O$40), 1)</f>
        <v>19</v>
      </c>
      <c r="Q34" s="21">
        <f>AVERAGE('2. Expert 1'!I35, '3. Expert 2'!I35, '4. Expert 3'!I35, '5. Expert 4'!F35)</f>
        <v>2.25</v>
      </c>
      <c r="R34" s="22">
        <f>_xlfn.RANK.EQ(Q34, (Q$2:Q$11, Q$13:Q$40), 1)</f>
        <v>28</v>
      </c>
      <c r="S34" s="21">
        <f>AVERAGE('2. Expert 1'!J35, '3. Expert 2'!J35, '4. Expert 3'!J35, '5. Expert 4'!G35)</f>
        <v>2.5</v>
      </c>
      <c r="T34" s="22">
        <f>_xlfn.RANK.EQ(S34, (S$2:S$11, S$13:S$40), 1)</f>
        <v>33</v>
      </c>
      <c r="U34" s="20">
        <v>1078.6279999999999</v>
      </c>
      <c r="V34" s="22">
        <f>_xlfn.RANK.EQ(U34, (U$2:U$11, U$13:U$40), 1)</f>
        <v>37</v>
      </c>
      <c r="W34" s="21">
        <f t="shared" si="2"/>
        <v>3.6880184827391838</v>
      </c>
      <c r="X34" s="29">
        <f>_xlfn.RANK.EQ(W34, (W$2:W$11, W$13:W$40), 1)</f>
        <v>38</v>
      </c>
    </row>
    <row r="35" spans="2:24" s="4" customFormat="1" x14ac:dyDescent="0.3">
      <c r="B35" s="28" t="s">
        <v>12</v>
      </c>
      <c r="C35" s="21">
        <f>AVERAGE('2. Expert 1'!C36, '3. Expert 2'!C36, '4. Expert 3'!C36, '5. Expert 4'!C36)</f>
        <v>2</v>
      </c>
      <c r="D35" s="22">
        <f>_xlfn.RANK.EQ(C35, (C$2:C$11, C$13:C$40), 1)</f>
        <v>23</v>
      </c>
      <c r="E35" s="21">
        <f>AVERAGE('2. Expert 1'!D36, '3. Expert 2'!D36, '4. Expert 3'!D36)</f>
        <v>84</v>
      </c>
      <c r="F35" s="22">
        <f>_xlfn.RANK.EQ(E35, (E$2:E$11, E$13:E$40), 1)</f>
        <v>19</v>
      </c>
      <c r="G35" s="21">
        <f t="shared" si="3"/>
        <v>27.1059021874552</v>
      </c>
      <c r="H35" s="23">
        <f t="shared" si="4"/>
        <v>1.1310653017760619</v>
      </c>
      <c r="I35" s="21">
        <f>AVERAGE('2. Expert 1'!E36, '3. Expert 2'!E36, '4. Expert 3'!E36, '5. Expert 4'!D36)</f>
        <v>1.5</v>
      </c>
      <c r="J35" s="22">
        <f>_xlfn.RANK.EQ(I35, (I$2:I$11, I$13:I$40), 1)</f>
        <v>15</v>
      </c>
      <c r="K35" s="21">
        <f>AVERAGE('2. Expert 1'!F36, '3. Expert 2'!F36, '4. Expert 3'!F36, '5. Expert 4'!E36)</f>
        <v>1</v>
      </c>
      <c r="L35" s="22">
        <f>_xlfn.RANK.EQ(K35, (K$2:K$11, K$13:K$40), 1)</f>
        <v>2</v>
      </c>
      <c r="M35" s="21">
        <f>AVERAGE('2. Expert 1'!G36, '3. Expert 2'!G36, '4. Expert 3'!G36)</f>
        <v>1.4550000000000001</v>
      </c>
      <c r="N35" s="22">
        <f>_xlfn.RANK.EQ(M35, (M$2:M$11, M$13:M$40), 1)</f>
        <v>34</v>
      </c>
      <c r="O35" s="21">
        <f>AVERAGE('2. Expert 1'!H36, '3. Expert 2'!H36, '4. Expert 3'!H36)</f>
        <v>0.83000000000000007</v>
      </c>
      <c r="P35" s="22">
        <f>_xlfn.RANK.EQ(O35, (O$2:O$11, O$13:O$40), 1)</f>
        <v>22</v>
      </c>
      <c r="Q35" s="21">
        <f>AVERAGE('2. Expert 1'!I36, '3. Expert 2'!I36, '4. Expert 3'!I36, '5. Expert 4'!F36)</f>
        <v>1.75</v>
      </c>
      <c r="R35" s="22">
        <f>_xlfn.RANK.EQ(Q35, (Q$2:Q$11, Q$13:Q$40), 1)</f>
        <v>19</v>
      </c>
      <c r="S35" s="21">
        <f>AVERAGE('2. Expert 1'!J36, '3. Expert 2'!J36, '4. Expert 3'!J36, '5. Expert 4'!G36)</f>
        <v>2.75</v>
      </c>
      <c r="T35" s="22">
        <f>_xlfn.RANK.EQ(S35, (S$2:S$11, S$13:S$40), 1)</f>
        <v>38</v>
      </c>
      <c r="U35" s="20">
        <v>230.19399999999999</v>
      </c>
      <c r="V35" s="22">
        <f>_xlfn.RANK.EQ(U35, (U$2:U$11, U$13:U$40), 1)</f>
        <v>24</v>
      </c>
      <c r="W35" s="21">
        <f t="shared" si="2"/>
        <v>0.36490959799125955</v>
      </c>
      <c r="X35" s="29">
        <f>_xlfn.RANK.EQ(W35, (W$2:W$11, W$13:W$40), 1)</f>
        <v>15</v>
      </c>
    </row>
    <row r="36" spans="2:24" s="4" customFormat="1" x14ac:dyDescent="0.3">
      <c r="B36" s="28" t="s">
        <v>11</v>
      </c>
      <c r="C36" s="21">
        <f>AVERAGE('2. Expert 1'!C37, '3. Expert 2'!C37, '4. Expert 3'!C37, '5. Expert 4'!C37)</f>
        <v>2.75</v>
      </c>
      <c r="D36" s="22">
        <f>_xlfn.RANK.EQ(C36, (C$2:C$11, C$13:C$40), 1)</f>
        <v>32</v>
      </c>
      <c r="E36" s="21">
        <f>AVERAGE('2. Expert 1'!D37, '3. Expert 2'!D37, '4. Expert 3'!D37)</f>
        <v>346</v>
      </c>
      <c r="F36" s="22">
        <f>_xlfn.RANK.EQ(E36, (E$2:E$11, E$13:E$40), 1)</f>
        <v>28</v>
      </c>
      <c r="G36" s="21">
        <f t="shared" si="3"/>
        <v>181.10763129186918</v>
      </c>
      <c r="H36" s="23">
        <f t="shared" si="4"/>
        <v>0.64734727250359736</v>
      </c>
      <c r="I36" s="21">
        <f>AVERAGE('2. Expert 1'!E37, '3. Expert 2'!E37, '4. Expert 3'!E37, '5. Expert 4'!D37)</f>
        <v>2.5</v>
      </c>
      <c r="J36" s="22">
        <f>_xlfn.RANK.EQ(I36, (I$2:I$11, I$13:I$40), 1)</f>
        <v>33</v>
      </c>
      <c r="K36" s="21">
        <f>AVERAGE('2. Expert 1'!F37, '3. Expert 2'!F37, '4. Expert 3'!F37, '5. Expert 4'!E37)</f>
        <v>1</v>
      </c>
      <c r="L36" s="22">
        <f>_xlfn.RANK.EQ(K36, (K$2:K$11, K$13:K$40), 1)</f>
        <v>2</v>
      </c>
      <c r="M36" s="21">
        <f>AVERAGE('2. Expert 1'!G37, '3. Expert 2'!G37, '4. Expert 3'!G37)</f>
        <v>0.94666666666666666</v>
      </c>
      <c r="N36" s="22">
        <f>_xlfn.RANK.EQ(M36, (M$2:M$11, M$13:M$40), 1)</f>
        <v>10</v>
      </c>
      <c r="O36" s="21">
        <f>AVERAGE('2. Expert 1'!H37, '3. Expert 2'!H37, '4. Expert 3'!H37)</f>
        <v>0.55666666666666664</v>
      </c>
      <c r="P36" s="22">
        <f>_xlfn.RANK.EQ(O36, (O$2:O$11, O$13:O$40), 1)</f>
        <v>13</v>
      </c>
      <c r="Q36" s="21">
        <f>AVERAGE('2. Expert 1'!I37, '3. Expert 2'!I37, '4. Expert 3'!I37, '5. Expert 4'!F37)</f>
        <v>2.25</v>
      </c>
      <c r="R36" s="22">
        <f>_xlfn.RANK.EQ(Q36, (Q$2:Q$11, Q$13:Q$40), 1)</f>
        <v>28</v>
      </c>
      <c r="S36" s="21">
        <f>AVERAGE('2. Expert 1'!J37, '3. Expert 2'!J37, '4. Expert 3'!J37, '5. Expert 4'!G37)</f>
        <v>2.5</v>
      </c>
      <c r="T36" s="22">
        <f>_xlfn.RANK.EQ(S36, (S$2:S$11, S$13:S$40), 1)</f>
        <v>33</v>
      </c>
      <c r="U36" s="20">
        <v>353.60500000000002</v>
      </c>
      <c r="V36" s="22">
        <f>_xlfn.RANK.EQ(U36, (U$2:U$11, U$13:U$40), 1)</f>
        <v>33</v>
      </c>
      <c r="W36" s="21">
        <f t="shared" si="2"/>
        <v>0.97849295117433288</v>
      </c>
      <c r="X36" s="29">
        <f>_xlfn.RANK.EQ(W36, (W$2:W$11, W$13:W$40), 1)</f>
        <v>25</v>
      </c>
    </row>
    <row r="37" spans="2:24" x14ac:dyDescent="0.3">
      <c r="B37" s="30" t="s">
        <v>8</v>
      </c>
      <c r="C37" s="25">
        <f>AVERAGE('2. Expert 1'!C38, '3. Expert 2'!C38, '4. Expert 3'!C38, '5. Expert 4'!C38)</f>
        <v>0.5</v>
      </c>
      <c r="D37" s="26">
        <f>_xlfn.RANK.EQ(C37, (C$2:C$11, C$13:C$40), 1)</f>
        <v>3</v>
      </c>
      <c r="E37" s="25">
        <f>AVERAGE('2. Expert 1'!D38, '3. Expert 2'!D38, '4. Expert 3'!D38)</f>
        <v>22.333333333333332</v>
      </c>
      <c r="F37" s="26">
        <f>_xlfn.RANK.EQ(E37, (E$2:E$11, E$13:E$40), 1)</f>
        <v>7</v>
      </c>
      <c r="G37" s="25">
        <f t="shared" si="3"/>
        <v>4.5829943732849978</v>
      </c>
      <c r="H37" s="27">
        <f t="shared" si="4"/>
        <v>1.5837277529328222</v>
      </c>
      <c r="I37" s="25">
        <f>AVERAGE('2. Expert 1'!E38, '3. Expert 2'!E38, '4. Expert 3'!E38, '5. Expert 4'!D38)</f>
        <v>0.25</v>
      </c>
      <c r="J37" s="26">
        <f>_xlfn.RANK.EQ(I37, (I$2:I$11, I$13:I$40), 1)</f>
        <v>1</v>
      </c>
      <c r="K37" s="25">
        <f>AVERAGE('2. Expert 1'!F38, '3. Expert 2'!F38, '4. Expert 3'!F38, '5. Expert 4'!E38)</f>
        <v>1</v>
      </c>
      <c r="L37" s="26">
        <f>_xlfn.RANK.EQ(K37, (K$2:K$11, K$13:K$40), 1)</f>
        <v>2</v>
      </c>
      <c r="M37" s="25">
        <f>AVERAGE('2. Expert 1'!G38, '3. Expert 2'!G38, '4. Expert 3'!G38)</f>
        <v>1.2266666666666666</v>
      </c>
      <c r="N37" s="26">
        <f>_xlfn.RANK.EQ(M37, (M$2:M$11, M$13:M$40), 1)</f>
        <v>24</v>
      </c>
      <c r="O37" s="25">
        <f>AVERAGE('2. Expert 1'!H38, '3. Expert 2'!H38, '4. Expert 3'!H38)</f>
        <v>0.91999999999999993</v>
      </c>
      <c r="P37" s="26">
        <f>_xlfn.RANK.EQ(O37, (O$2:O$11, O$13:O$40), 1)</f>
        <v>25</v>
      </c>
      <c r="Q37" s="25">
        <f>AVERAGE('2. Expert 1'!I38, '3. Expert 2'!I38, '4. Expert 3'!I38, '5. Expert 4'!F38)</f>
        <v>1.25</v>
      </c>
      <c r="R37" s="26">
        <f>_xlfn.RANK.EQ(Q37, (Q$2:Q$11, Q$13:Q$40), 1)</f>
        <v>1</v>
      </c>
      <c r="S37" s="25">
        <f>AVERAGE('2. Expert 1'!J38, '3. Expert 2'!J38, '4. Expert 3'!J38, '5. Expert 4'!G38)</f>
        <v>2</v>
      </c>
      <c r="T37" s="26">
        <f>_xlfn.RANK.EQ(S37, (S$2:S$11, S$13:S$40), 1)</f>
        <v>15</v>
      </c>
      <c r="U37" s="24">
        <v>94.762</v>
      </c>
      <c r="V37" s="26">
        <f>_xlfn.RANK.EQ(U37, (U$2:U$11, U$13:U$40), 1)</f>
        <v>11</v>
      </c>
      <c r="W37" s="25">
        <f t="shared" si="2"/>
        <v>0.23567815509733156</v>
      </c>
      <c r="X37" s="31">
        <f>_xlfn.RANK.EQ(W37, (W$2:W$11, W$13:W$40), 1)</f>
        <v>10</v>
      </c>
    </row>
    <row r="38" spans="2:24" x14ac:dyDescent="0.3">
      <c r="B38" s="30" t="s">
        <v>6</v>
      </c>
      <c r="C38" s="25">
        <f>AVERAGE('2. Expert 1'!C39, '3. Expert 2'!C39, '4. Expert 3'!C39, '5. Expert 4'!C39)</f>
        <v>1.25</v>
      </c>
      <c r="D38" s="26">
        <f>_xlfn.RANK.EQ(C38, (C$2:C$11, C$13:C$40), 1)</f>
        <v>13</v>
      </c>
      <c r="E38" s="25">
        <f>AVERAGE('2. Expert 1'!D39, '3. Expert 2'!D39, '4. Expert 3'!D39)</f>
        <v>55</v>
      </c>
      <c r="F38" s="26">
        <f>_xlfn.RANK.EQ(E38, (E$2:E$11, E$13:E$40), 1)</f>
        <v>17</v>
      </c>
      <c r="G38" s="25">
        <f t="shared" si="3"/>
        <v>15.356879241350725</v>
      </c>
      <c r="H38" s="27">
        <f t="shared" si="4"/>
        <v>1.2757696525468867</v>
      </c>
      <c r="I38" s="25">
        <f>AVERAGE('2. Expert 1'!E39, '3. Expert 2'!E39, '4. Expert 3'!E39, '5. Expert 4'!D39)</f>
        <v>1.5</v>
      </c>
      <c r="J38" s="26">
        <f>_xlfn.RANK.EQ(I38, (I$2:I$11, I$13:I$40), 1)</f>
        <v>15</v>
      </c>
      <c r="K38" s="25">
        <f>AVERAGE('2. Expert 1'!F39, '3. Expert 2'!F39, '4. Expert 3'!F39, '5. Expert 4'!E39)</f>
        <v>1</v>
      </c>
      <c r="L38" s="26">
        <f>_xlfn.RANK.EQ(K38, (K$2:K$11, K$13:K$40), 1)</f>
        <v>2</v>
      </c>
      <c r="M38" s="25">
        <f>AVERAGE('2. Expert 1'!G39, '3. Expert 2'!G39, '4. Expert 3'!G39)</f>
        <v>1.1299999999999999</v>
      </c>
      <c r="N38" s="26">
        <f>_xlfn.RANK.EQ(M38, (M$2:M$11, M$13:M$40), 1)</f>
        <v>14</v>
      </c>
      <c r="O38" s="25">
        <f>AVERAGE('2. Expert 1'!H39, '3. Expert 2'!H39, '4. Expert 3'!H39)</f>
        <v>0.34499999999999997</v>
      </c>
      <c r="P38" s="26">
        <f>_xlfn.RANK.EQ(O38, (O$2:O$11, O$13:O$40), 1)</f>
        <v>2</v>
      </c>
      <c r="Q38" s="25">
        <f>AVERAGE('2. Expert 1'!I39, '3. Expert 2'!I39, '4. Expert 3'!I39, '5. Expert 4'!F39)</f>
        <v>1.5</v>
      </c>
      <c r="R38" s="26">
        <f>_xlfn.RANK.EQ(Q38, (Q$2:Q$11, Q$13:Q$40), 1)</f>
        <v>7</v>
      </c>
      <c r="S38" s="25">
        <f>AVERAGE('2. Expert 1'!J39, '3. Expert 2'!J39, '4. Expert 3'!J39, '5. Expert 4'!G39)</f>
        <v>2.5</v>
      </c>
      <c r="T38" s="26">
        <f>_xlfn.RANK.EQ(S38, (S$2:S$11, S$13:S$40), 1)</f>
        <v>33</v>
      </c>
      <c r="U38" s="24">
        <v>84.701999999999998</v>
      </c>
      <c r="V38" s="26">
        <f>_xlfn.RANK.EQ(U38, (U$2:U$11, U$13:U$40), 1)</f>
        <v>10</v>
      </c>
      <c r="W38" s="25">
        <f t="shared" si="2"/>
        <v>0.64933531675757361</v>
      </c>
      <c r="X38" s="31">
        <f>_xlfn.RANK.EQ(W38, (W$2:W$11, W$13:W$40), 1)</f>
        <v>20</v>
      </c>
    </row>
    <row r="39" spans="2:24" x14ac:dyDescent="0.3">
      <c r="B39" s="30" t="s">
        <v>4</v>
      </c>
      <c r="C39" s="25">
        <f>AVERAGE('2. Expert 1'!C40, '3. Expert 2'!C40, '4. Expert 3'!C40, '5. Expert 4'!C40)</f>
        <v>1</v>
      </c>
      <c r="D39" s="26">
        <f>_xlfn.RANK.EQ(C39, (C$2:C$11, C$13:C$40), 1)</f>
        <v>11</v>
      </c>
      <c r="E39" s="25">
        <f>AVERAGE('2. Expert 1'!D40, '3. Expert 2'!D40, '4. Expert 3'!D40)</f>
        <v>6</v>
      </c>
      <c r="F39" s="26">
        <f>_xlfn.RANK.EQ(E39, (E$2:E$11, E$13:E$40), 1)</f>
        <v>2</v>
      </c>
      <c r="G39" s="25">
        <f t="shared" si="3"/>
        <v>0.78578526621544165</v>
      </c>
      <c r="H39" s="27">
        <f t="shared" si="4"/>
        <v>2.0328311913055956</v>
      </c>
      <c r="I39" s="25">
        <f>AVERAGE('2. Expert 1'!E40, '3. Expert 2'!E40, '4. Expert 3'!E40, '5. Expert 4'!D40)</f>
        <v>0.25</v>
      </c>
      <c r="J39" s="26">
        <f>_xlfn.RANK.EQ(I39, (I$2:I$11, I$13:I$40), 1)</f>
        <v>1</v>
      </c>
      <c r="K39" s="25">
        <f>AVERAGE('2. Expert 1'!F40, '3. Expert 2'!F40, '4. Expert 3'!F40, '5. Expert 4'!E40)</f>
        <v>1</v>
      </c>
      <c r="L39" s="26">
        <f>_xlfn.RANK.EQ(K39, (K$2:K$11, K$13:K$40), 1)</f>
        <v>2</v>
      </c>
      <c r="M39" s="25">
        <f>AVERAGE('2. Expert 1'!G40, '3. Expert 2'!G40, '4. Expert 3'!G40)</f>
        <v>1.1166666666666667</v>
      </c>
      <c r="N39" s="26">
        <f>_xlfn.RANK.EQ(M39, (M$2:M$11, M$13:M$40), 1)</f>
        <v>13</v>
      </c>
      <c r="O39" s="25">
        <f>AVERAGE('2. Expert 1'!H40, '3. Expert 2'!H40, '4. Expert 3'!H40)</f>
        <v>0.91666666666666663</v>
      </c>
      <c r="P39" s="26">
        <f>_xlfn.RANK.EQ(O39, (O$2:O$11, O$13:O$40), 1)</f>
        <v>24</v>
      </c>
      <c r="Q39" s="25">
        <f>AVERAGE('2. Expert 1'!I40, '3. Expert 2'!I40, '4. Expert 3'!I40, '5. Expert 4'!F40)</f>
        <v>1.75</v>
      </c>
      <c r="R39" s="26">
        <f>_xlfn.RANK.EQ(Q39, (Q$2:Q$11, Q$13:Q$40), 1)</f>
        <v>19</v>
      </c>
      <c r="S39" s="25">
        <f>AVERAGE('2. Expert 1'!J40, '3. Expert 2'!J40, '4. Expert 3'!J40, '5. Expert 4'!G40)</f>
        <v>2</v>
      </c>
      <c r="T39" s="26">
        <f>_xlfn.RANK.EQ(S39, (S$2:S$11, S$13:S$40), 1)</f>
        <v>15</v>
      </c>
      <c r="U39" s="24">
        <v>182.245</v>
      </c>
      <c r="V39" s="26">
        <f>_xlfn.RANK.EQ(U39, (U$2:U$11, U$13:U$40), 1)</f>
        <v>20</v>
      </c>
      <c r="W39" s="25">
        <f t="shared" si="2"/>
        <v>3.292271392905155E-2</v>
      </c>
      <c r="X39" s="31">
        <f>_xlfn.RANK.EQ(W39, (W$2:W$11, W$13:W$40), 1)</f>
        <v>1</v>
      </c>
    </row>
    <row r="40" spans="2:24" ht="15" thickBot="1" x14ac:dyDescent="0.35">
      <c r="B40" s="32" t="s">
        <v>28</v>
      </c>
      <c r="C40" s="33">
        <f>AVERAGE('2. Expert 1'!C41, '3. Expert 2'!C41, '4. Expert 3'!C41, '5. Expert 4'!C41)</f>
        <v>1.75</v>
      </c>
      <c r="D40" s="34">
        <f>_xlfn.RANK.EQ(C40, (C$2:C$11, C$13:C$40), 1)</f>
        <v>16</v>
      </c>
      <c r="E40" s="33">
        <f>AVERAGE('2. Expert 1'!D41, '3. Expert 2'!D41, '4. Expert 3'!D41)</f>
        <v>71.333333333333329</v>
      </c>
      <c r="F40" s="34">
        <f>_xlfn.RANK.EQ(E40, (E$2:E$11, E$13:E$40), 1)</f>
        <v>18</v>
      </c>
      <c r="G40" s="33">
        <f t="shared" si="3"/>
        <v>21.768119903416626</v>
      </c>
      <c r="H40" s="35">
        <f t="shared" si="4"/>
        <v>1.1869172166457482</v>
      </c>
      <c r="I40" s="33">
        <f>AVERAGE('2. Expert 1'!E41, '3. Expert 2'!E41, '4. Expert 3'!E41, '5. Expert 4'!D41)</f>
        <v>1.5</v>
      </c>
      <c r="J40" s="34">
        <f>_xlfn.RANK.EQ(I40, (I$2:I$11, I$13:I$40), 1)</f>
        <v>15</v>
      </c>
      <c r="K40" s="33">
        <f>AVERAGE('2. Expert 1'!F41, '3. Expert 2'!F41, '4. Expert 3'!F41, '5. Expert 4'!E41)</f>
        <v>1</v>
      </c>
      <c r="L40" s="34">
        <f>_xlfn.RANK.EQ(K40, (K$2:K$11, K$13:K$40), 1)</f>
        <v>2</v>
      </c>
      <c r="M40" s="33">
        <f>AVERAGE('2. Expert 1'!G41, '3. Expert 2'!G41, '4. Expert 3'!G41)</f>
        <v>1.1966666666666665</v>
      </c>
      <c r="N40" s="34">
        <f>_xlfn.RANK.EQ(M40, (M$2:M$11, M$13:M$40), 1)</f>
        <v>19</v>
      </c>
      <c r="O40" s="33">
        <f>AVERAGE('2. Expert 1'!H41, '3. Expert 2'!H41, '4. Expert 3'!H41)</f>
        <v>0.93333333333333324</v>
      </c>
      <c r="P40" s="34">
        <f>_xlfn.RANK.EQ(O40, (O$2:O$11, O$13:O$40), 1)</f>
        <v>26</v>
      </c>
      <c r="Q40" s="33">
        <f>AVERAGE('2. Expert 1'!I41, '3. Expert 2'!I41, '4. Expert 3'!I41, '5. Expert 4'!F41)</f>
        <v>1.5</v>
      </c>
      <c r="R40" s="34">
        <f>_xlfn.RANK.EQ(Q40, (Q$2:Q$11, Q$13:Q$40), 1)</f>
        <v>7</v>
      </c>
      <c r="S40" s="33">
        <f>AVERAGE('2. Expert 1'!J41, '3. Expert 2'!J41, '4. Expert 3'!J41, '5. Expert 4'!G41)</f>
        <v>2.25</v>
      </c>
      <c r="T40" s="34">
        <f>_xlfn.RANK.EQ(S40, (S$2:S$11, S$13:S$40), 1)</f>
        <v>28</v>
      </c>
      <c r="U40" s="36">
        <v>418.291</v>
      </c>
      <c r="V40" s="34">
        <f>_xlfn.RANK.EQ(U40, (U$2:U$11, U$13:U$40), 1)</f>
        <v>35</v>
      </c>
      <c r="W40" s="33">
        <f t="shared" si="2"/>
        <v>0.17053518563233092</v>
      </c>
      <c r="X40" s="37">
        <f>_xlfn.RANK.EQ(W40, (W$2:W$11, W$13:W$40), 1)</f>
        <v>6</v>
      </c>
    </row>
    <row r="41" spans="2:24" x14ac:dyDescent="0.3"/>
    <row r="42" spans="2:24" x14ac:dyDescent="0.3">
      <c r="B42" s="13" t="s">
        <v>48</v>
      </c>
    </row>
    <row r="43" spans="2:24" s="4" customFormat="1" x14ac:dyDescent="0.3">
      <c r="B43" s="14" t="s">
        <v>44</v>
      </c>
      <c r="C43" s="15">
        <f>AVERAGE(C2:C11, C12:C40)</f>
        <v>1.7489316239316242</v>
      </c>
      <c r="D43" s="15"/>
      <c r="E43" s="15">
        <f>AVERAGE(E2:E11, E12:E40)</f>
        <v>287.40598290598285</v>
      </c>
      <c r="F43" s="15"/>
      <c r="G43" s="15"/>
      <c r="H43" s="15"/>
      <c r="I43" s="15">
        <f>AVERAGE(I2:I11, I12:I40)</f>
        <v>1.5683760683760684</v>
      </c>
      <c r="J43" s="15"/>
      <c r="K43" s="15">
        <f>AVERAGE(K2:K11, K12:K40)</f>
        <v>0.99358974358974361</v>
      </c>
      <c r="L43" s="15"/>
      <c r="M43" s="15">
        <f>AVERAGE(M2:M11, M12:M40)</f>
        <v>1.2200000000000002</v>
      </c>
      <c r="N43" s="15"/>
      <c r="O43" s="15">
        <f>AVERAGE(O2:O11, O12:O40)</f>
        <v>0.7763034188034188</v>
      </c>
      <c r="P43" s="15"/>
      <c r="Q43" s="15">
        <f>AVERAGE(Q2:Q11, Q12:Q40)</f>
        <v>1.9775641025641026</v>
      </c>
      <c r="R43" s="15"/>
      <c r="S43" s="15">
        <f>AVERAGE(S2:S11, S12:S40)</f>
        <v>1.9775641025641026</v>
      </c>
      <c r="T43" s="15"/>
      <c r="U43" s="15">
        <f>AVERAGE(U2:U11, U12:U40)</f>
        <v>265.18612820512823</v>
      </c>
      <c r="V43" s="15"/>
      <c r="W43" s="15">
        <f>AVERAGE(W2:W11, W12:W40)</f>
        <v>1.0306077686914117</v>
      </c>
      <c r="X43" s="15"/>
    </row>
    <row r="44" spans="2:24" s="11" customFormat="1" x14ac:dyDescent="0.3">
      <c r="B44" s="14" t="s">
        <v>49</v>
      </c>
      <c r="C44" s="15">
        <f>_xlfn.STDEV.S(C2:C11,C12:C40)</f>
        <v>0.9828800982822572</v>
      </c>
      <c r="D44" s="15"/>
      <c r="E44" s="15">
        <f>_xlfn.STDEV.S(E2:E11,E12:E40)</f>
        <v>636.35123741603866</v>
      </c>
      <c r="F44" s="15"/>
      <c r="G44" s="15"/>
      <c r="H44" s="15"/>
      <c r="I44" s="15">
        <f>_xlfn.STDEV.S(I2:I11,I12:I40)</f>
        <v>0.68288169576168745</v>
      </c>
      <c r="J44" s="15"/>
      <c r="K44" s="15">
        <f>_xlfn.STDEV.S(K2:K11,K12:K40)</f>
        <v>0.18573449045524479</v>
      </c>
      <c r="L44" s="15"/>
      <c r="M44" s="15">
        <f>_xlfn.STDEV.S(M2:M11,M12:M40)</f>
        <v>0.42799785483421493</v>
      </c>
      <c r="N44" s="15"/>
      <c r="O44" s="15">
        <f>_xlfn.STDEV.S(O2:O11,O12:O40)</f>
        <v>0.29861331533149621</v>
      </c>
      <c r="P44" s="15"/>
      <c r="Q44" s="15">
        <f>_xlfn.STDEV.S(Q2:Q11,Q12:Q40)</f>
        <v>0.74883231187565746</v>
      </c>
      <c r="R44" s="15"/>
      <c r="S44" s="15">
        <f>_xlfn.STDEV.S(S2:S11,S12:S40)</f>
        <v>0.35917462362534786</v>
      </c>
      <c r="T44" s="15"/>
      <c r="U44" s="15">
        <f>_xlfn.STDEV.S(U2:U11,U12:U40)</f>
        <v>307.00700907061253</v>
      </c>
      <c r="V44" s="15"/>
      <c r="W44" s="15">
        <f>_xlfn.STDEV.S(W2:W11,W12:W40)</f>
        <v>1.076481775286473</v>
      </c>
      <c r="X44" s="15"/>
    </row>
    <row r="45" spans="2:24" s="11" customFormat="1" x14ac:dyDescent="0.3">
      <c r="B45" s="14" t="s">
        <v>52</v>
      </c>
      <c r="C45" s="15">
        <f>C43+3*C44</f>
        <v>4.6975719187783955</v>
      </c>
      <c r="D45" s="15"/>
      <c r="E45" s="15">
        <f>E43+3*E44</f>
        <v>2196.4596951540989</v>
      </c>
      <c r="F45" s="15"/>
      <c r="G45" s="15"/>
      <c r="H45" s="15"/>
      <c r="I45" s="15">
        <f>I43+3*I44</f>
        <v>3.6170211556611305</v>
      </c>
      <c r="J45" s="15"/>
      <c r="K45" s="15">
        <f>K43+3*K44</f>
        <v>1.5507932149554779</v>
      </c>
      <c r="L45" s="15"/>
      <c r="M45" s="15">
        <f>M43+3*M44</f>
        <v>2.503993564502645</v>
      </c>
      <c r="N45" s="15"/>
      <c r="O45" s="15">
        <f>O43+3*O44</f>
        <v>1.6721433647979074</v>
      </c>
      <c r="P45" s="15"/>
      <c r="Q45" s="15">
        <f>Q43+3*Q44</f>
        <v>4.224061038191075</v>
      </c>
      <c r="R45" s="15"/>
      <c r="S45" s="15">
        <f>S43+3*S44</f>
        <v>3.0550879734401462</v>
      </c>
      <c r="T45" s="15"/>
      <c r="U45" s="15">
        <f>U43+3*U44</f>
        <v>1186.2071554169659</v>
      </c>
      <c r="V45" s="15"/>
      <c r="W45" s="15">
        <f>W43+3*W44</f>
        <v>4.2600530945508304</v>
      </c>
      <c r="X45" s="15"/>
    </row>
    <row r="46" spans="2:24" s="4" customFormat="1" x14ac:dyDescent="0.3">
      <c r="B46" s="14" t="s">
        <v>77</v>
      </c>
      <c r="C46" s="15">
        <f>MEDIAN(C2:C40)</f>
        <v>1.75</v>
      </c>
      <c r="D46" s="15"/>
      <c r="E46" s="15">
        <f>MEDIAN(E2:E40)</f>
        <v>114</v>
      </c>
      <c r="F46" s="15"/>
      <c r="G46" s="15"/>
      <c r="H46" s="15"/>
      <c r="I46" s="15">
        <f>MEDIAN(I2:I40)</f>
        <v>1.5</v>
      </c>
      <c r="J46" s="15"/>
      <c r="K46" s="15">
        <f>MEDIAN(K2:K40)</f>
        <v>1</v>
      </c>
      <c r="L46" s="15"/>
      <c r="M46" s="15">
        <f>MEDIAN(M2:M40)</f>
        <v>1.2033333333333334</v>
      </c>
      <c r="N46" s="15"/>
      <c r="O46" s="15">
        <f>MEDIAN(O2:O40)</f>
        <v>0.82</v>
      </c>
      <c r="P46" s="15"/>
      <c r="Q46" s="15">
        <f>MEDIAN(Q2:Q40)</f>
        <v>1.75</v>
      </c>
      <c r="R46" s="15"/>
      <c r="S46" s="15">
        <f>MEDIAN(S2:S40)</f>
        <v>2</v>
      </c>
      <c r="T46" s="15"/>
      <c r="U46" s="15">
        <f>MEDIAN(U2:U40)</f>
        <v>182.245</v>
      </c>
      <c r="V46" s="15"/>
      <c r="W46" s="15">
        <f>MEDIAN(W2:W40)</f>
        <v>0.56995812782862887</v>
      </c>
      <c r="X46" s="15"/>
    </row>
    <row r="47" spans="2:24" s="4" customFormat="1" x14ac:dyDescent="0.3">
      <c r="B47" s="14" t="s">
        <v>68</v>
      </c>
      <c r="C47" s="15">
        <f>_xlfn.QUARTILE.INC(C2:C40, 3) + 1.5 * (_xlfn.QUARTILE.INC(C2:C40, 3) - _xlfn.QUARTILE.INC(C2:C40, 1))</f>
        <v>4.21875</v>
      </c>
      <c r="D47" s="15"/>
      <c r="E47" s="15">
        <f>_xlfn.QUARTILE.INC(E2:E40, 3) + 1.5 * (_xlfn.QUARTILE.INC(E2:E40, 3) - _xlfn.QUARTILE.INC(E2:E40, 1))</f>
        <v>829.33333333333348</v>
      </c>
      <c r="F47" s="15"/>
      <c r="G47" s="15"/>
      <c r="H47" s="15"/>
      <c r="I47" s="15">
        <f>_xlfn.QUARTILE.INC(I2:I40, 3) + 1.5 * (_xlfn.QUARTILE.INC(I2:I40, 3) - _xlfn.QUARTILE.INC(I2:I40, 1))</f>
        <v>3.8125</v>
      </c>
      <c r="J47" s="15"/>
      <c r="K47" s="15">
        <f>_xlfn.QUARTILE.INC(K2:K40, 3) + 1.5 * (_xlfn.QUARTILE.INC(K2:K40, 3) - _xlfn.QUARTILE.INC(K2:K40, 1))</f>
        <v>1</v>
      </c>
      <c r="L47" s="15"/>
      <c r="M47" s="15">
        <f>_xlfn.QUARTILE.INC(M2:M40, 3) + 1.5 * (_xlfn.QUARTILE.INC(M2:M40, 3) - _xlfn.QUARTILE.INC(M2:M40, 1))</f>
        <v>1.9799999999999995</v>
      </c>
      <c r="N47" s="15"/>
      <c r="O47" s="15">
        <f>_xlfn.QUARTILE.INC(O2:O40, 3) + 1.5 * (_xlfn.QUARTILE.INC(O2:O40, 3) - _xlfn.QUARTILE.INC(O2:O40, 1))</f>
        <v>1.8695833333333327</v>
      </c>
      <c r="P47" s="15"/>
      <c r="Q47" s="15">
        <f>_xlfn.QUARTILE.INC(Q2:Q40, 3) + 1.5 * (_xlfn.QUARTILE.INC(Q2:Q40, 3) - _xlfn.QUARTILE.INC(Q2:Q40, 1))</f>
        <v>3.375</v>
      </c>
      <c r="R47" s="15"/>
      <c r="S47" s="15">
        <f>_xlfn.QUARTILE.INC(S2:S40, 3) + 1.5 * (_xlfn.QUARTILE.INC(S2:S40, 3) - _xlfn.QUARTILE.INC(S2:S40, 1))</f>
        <v>3</v>
      </c>
      <c r="T47" s="15"/>
      <c r="U47" s="15">
        <f>_xlfn.QUARTILE.INC(U2:U40, 3) + 1.5 * (_xlfn.QUARTILE.INC(U2:U40, 3) - _xlfn.QUARTILE.INC(U2:U40, 1))</f>
        <v>633.75949999999989</v>
      </c>
      <c r="V47" s="15"/>
      <c r="W47" s="15">
        <f>_xlfn.QUARTILE.INC(W2:W40, 3) + 1.5 * (_xlfn.QUARTILE.INC(W2:W40, 3) - _xlfn.QUARTILE.INC(W2:W40, 1))</f>
        <v>3.3656481071391862</v>
      </c>
      <c r="X47" s="15"/>
    </row>
    <row r="48" spans="2:24" s="4" customFormat="1" x14ac:dyDescent="0.3">
      <c r="B48" s="14" t="s">
        <v>79</v>
      </c>
      <c r="C48" s="15">
        <f>_xlfn.QUARTILE.INC(C2:C40, 1) - 1.5 * (_xlfn.QUARTILE.INC(C2:C40, 3) - _xlfn.QUARTILE.INC(C2:C40, 1))</f>
        <v>-1.03125</v>
      </c>
      <c r="D48" s="15"/>
      <c r="E48" s="15">
        <f>_xlfn.QUARTILE.INC(E2:E40, 1) - 1.5 * (_xlfn.QUARTILE.INC(E2:E40, 3) - _xlfn.QUARTILE.INC(E2:E40, 1))</f>
        <v>-446.6666666666668</v>
      </c>
      <c r="F48" s="15"/>
      <c r="G48" s="15"/>
      <c r="H48" s="15"/>
      <c r="I48" s="15">
        <f>_xlfn.QUARTILE.INC(I2:I40, 1) - 1.5 * (_xlfn.QUARTILE.INC(I2:I40, 3) - _xlfn.QUARTILE.INC(I2:I40, 1))</f>
        <v>-0.6875</v>
      </c>
      <c r="J48" s="15"/>
      <c r="K48" s="15">
        <f>_xlfn.QUARTILE.INC(K2:K40, 1) - 1.5 * (_xlfn.QUARTILE.INC(K2:K40, 3) - _xlfn.QUARTILE.INC(K2:K40, 1))</f>
        <v>1</v>
      </c>
      <c r="L48" s="15"/>
      <c r="M48" s="15">
        <f>_xlfn.QUARTILE.INC(M2:M40, 1) - 1.5 * (_xlfn.QUARTILE.INC(M2:M40, 3) - _xlfn.QUARTILE.INC(M2:M40, 1))</f>
        <v>0.33333333333333381</v>
      </c>
      <c r="N48" s="15"/>
      <c r="O48" s="15">
        <f>_xlfn.QUARTILE.INC(O2:O40, 1) - 1.5 * (_xlfn.QUARTILE.INC(O2:O40, 3) - _xlfn.QUARTILE.INC(O2:O40, 1))</f>
        <v>-0.29374999999999951</v>
      </c>
      <c r="P48" s="15"/>
      <c r="Q48" s="15">
        <f>_xlfn.QUARTILE.INC(Q2:Q40, 1) - 1.5 * (_xlfn.QUARTILE.INC(Q2:Q40, 3) - _xlfn.QUARTILE.INC(Q2:Q40, 1))</f>
        <v>0.375</v>
      </c>
      <c r="R48" s="15"/>
      <c r="S48" s="15">
        <f>_xlfn.QUARTILE.INC(S2:S40, 1) - 1.5 * (_xlfn.QUARTILE.INC(S2:S40, 3) - _xlfn.QUARTILE.INC(S2:S40, 1))</f>
        <v>1</v>
      </c>
      <c r="T48" s="15"/>
      <c r="U48" s="15">
        <f>_xlfn.QUARTILE.INC(U2:U40, 1) - 1.5 * (_xlfn.QUARTILE.INC(U2:U40, 3) - _xlfn.QUARTILE.INC(U2:U40, 1))</f>
        <v>-236.68449999999993</v>
      </c>
      <c r="V48" s="15"/>
      <c r="W48" s="15">
        <f>_xlfn.QUARTILE.INC(W2:W40, 1) - 1.5 * (_xlfn.QUARTILE.INC(W2:W40, 3) - _xlfn.QUARTILE.INC(W2:W40, 1))</f>
        <v>-1.6458678037477843</v>
      </c>
      <c r="X48" s="15"/>
    </row>
    <row r="49" spans="2:24" s="4" customFormat="1" x14ac:dyDescent="0.3">
      <c r="B49" s="14" t="s">
        <v>125</v>
      </c>
      <c r="C49" s="15">
        <f>_xlfn.QUARTILE.INC(C2:C40, 1)</f>
        <v>0.9375</v>
      </c>
      <c r="D49" s="15"/>
      <c r="E49" s="15">
        <f>_xlfn.QUARTILE.INC(E2:E40, 1)</f>
        <v>31.833333333333336</v>
      </c>
      <c r="F49" s="15"/>
      <c r="G49" s="15"/>
      <c r="H49" s="15"/>
      <c r="I49" s="15">
        <f>_xlfn.QUARTILE.INC(I2:I40, 1)</f>
        <v>1</v>
      </c>
      <c r="J49" s="15"/>
      <c r="K49" s="15">
        <f>_xlfn.QUARTILE.INC(K2:K40, 1)</f>
        <v>1</v>
      </c>
      <c r="L49" s="15"/>
      <c r="M49" s="15">
        <f>_xlfn.QUARTILE.INC(M2:M40, 1)</f>
        <v>0.95083333333333342</v>
      </c>
      <c r="N49" s="15"/>
      <c r="O49" s="15">
        <f>_xlfn.QUARTILE.INC(O2:O40, 1)</f>
        <v>0.51750000000000007</v>
      </c>
      <c r="P49" s="15"/>
      <c r="Q49" s="15">
        <f>_xlfn.QUARTILE.INC(Q2:Q40, 1)</f>
        <v>1.5</v>
      </c>
      <c r="R49" s="15"/>
      <c r="S49" s="15">
        <f>_xlfn.QUARTILE.INC(S2:S40, 1)</f>
        <v>1.75</v>
      </c>
      <c r="T49" s="15"/>
      <c r="U49" s="15">
        <f>_xlfn.QUARTILE.INC(U2:U40, 1)</f>
        <v>89.731999999999999</v>
      </c>
      <c r="V49" s="15"/>
      <c r="W49" s="15">
        <f>_xlfn.QUARTILE.INC(W2:W40, 1)</f>
        <v>0.2334506628348296</v>
      </c>
      <c r="X49" s="15"/>
    </row>
    <row r="50" spans="2:24" s="4" customFormat="1" x14ac:dyDescent="0.3">
      <c r="B50" s="14" t="s">
        <v>126</v>
      </c>
      <c r="C50" s="15">
        <f>_xlfn.QUARTILE.INC(C2:C40, 3)</f>
        <v>2.25</v>
      </c>
      <c r="D50" s="15"/>
      <c r="E50" s="15">
        <f>_xlfn.QUARTILE.INC(E2:E40, 3)</f>
        <v>350.83333333333337</v>
      </c>
      <c r="F50" s="15"/>
      <c r="G50" s="15"/>
      <c r="H50" s="15"/>
      <c r="I50" s="15">
        <f>_xlfn.QUARTILE.INC(I2:I40, 3)</f>
        <v>2.125</v>
      </c>
      <c r="J50" s="15"/>
      <c r="K50" s="15">
        <f>_xlfn.QUARTILE.INC(K2:K40, 3)</f>
        <v>1</v>
      </c>
      <c r="L50" s="15"/>
      <c r="M50" s="15">
        <f>_xlfn.QUARTILE.INC(M2:M40, 3)</f>
        <v>1.3624999999999998</v>
      </c>
      <c r="N50" s="15"/>
      <c r="O50" s="15">
        <f>_xlfn.QUARTILE.INC(O2:O40, 3)</f>
        <v>1.0583333333333331</v>
      </c>
      <c r="P50" s="15"/>
      <c r="Q50" s="15">
        <f>_xlfn.QUARTILE.INC(Q2:Q40, 3)</f>
        <v>2.25</v>
      </c>
      <c r="R50" s="15"/>
      <c r="S50" s="15">
        <f>_xlfn.QUARTILE.INC(S2:S40, 3)</f>
        <v>2.25</v>
      </c>
      <c r="T50" s="15"/>
      <c r="U50" s="15">
        <f>_xlfn.QUARTILE.INC(U2:U40, 3)</f>
        <v>307.34299999999996</v>
      </c>
      <c r="V50" s="15"/>
      <c r="W50" s="15">
        <f>_xlfn.QUARTILE.INC(W2:W40, 3)</f>
        <v>1.4863296405565722</v>
      </c>
      <c r="X50" s="15"/>
    </row>
    <row r="51" spans="2:24" s="4" customFormat="1" x14ac:dyDescent="0.3">
      <c r="B51" s="14" t="s">
        <v>50</v>
      </c>
      <c r="C51" s="15">
        <f>MIN(C2:C11,C12:C40)</f>
        <v>0.25</v>
      </c>
      <c r="D51" s="15"/>
      <c r="E51" s="15">
        <f>MIN(E2:E11,E12:E40)</f>
        <v>3</v>
      </c>
      <c r="F51" s="15"/>
      <c r="G51" s="15"/>
      <c r="H51" s="15"/>
      <c r="I51" s="15">
        <f>MIN(I2:I11,I12:I40)</f>
        <v>0.25</v>
      </c>
      <c r="J51" s="15"/>
      <c r="K51" s="15">
        <f>MIN(K2:K11,K12:K40)</f>
        <v>0</v>
      </c>
      <c r="L51" s="15"/>
      <c r="M51" s="15">
        <f>MIN(M2:M11,M12:M40)</f>
        <v>0.39500000000000002</v>
      </c>
      <c r="N51" s="15"/>
      <c r="O51" s="15">
        <f>MIN(O2:O11,O12:O40)</f>
        <v>0.32499999999999996</v>
      </c>
      <c r="P51" s="15"/>
      <c r="Q51" s="15">
        <f>MIN(Q2:Q11,Q12:Q40)</f>
        <v>1.25</v>
      </c>
      <c r="R51" s="15"/>
      <c r="S51" s="15">
        <f>MIN(S2:S11,S12:S40)</f>
        <v>1</v>
      </c>
      <c r="T51" s="15"/>
      <c r="U51" s="15">
        <f>MIN(U2:U11,U12:U40)</f>
        <v>21.617999999999999</v>
      </c>
      <c r="V51" s="15"/>
      <c r="W51" s="15">
        <f>MIN(W2:W11,W12:W40)</f>
        <v>3.292271392905155E-2</v>
      </c>
      <c r="X51" s="15"/>
    </row>
    <row r="52" spans="2:24" s="4" customFormat="1" x14ac:dyDescent="0.3">
      <c r="B52" s="14" t="s">
        <v>51</v>
      </c>
      <c r="C52" s="15">
        <f>MAX(C2:C11,C12:C40)</f>
        <v>3.75</v>
      </c>
      <c r="D52" s="15"/>
      <c r="E52" s="15">
        <f>MAX(E2:E11,E12:E40)</f>
        <v>3978</v>
      </c>
      <c r="F52" s="15"/>
      <c r="G52" s="15"/>
      <c r="H52" s="15"/>
      <c r="I52" s="15">
        <f>MAX(I2:I11,I12:I40)</f>
        <v>2.5</v>
      </c>
      <c r="J52" s="15"/>
      <c r="K52" s="15">
        <f>MAX(K2:K11,K12:K40)</f>
        <v>1.5</v>
      </c>
      <c r="L52" s="15"/>
      <c r="M52" s="15">
        <f>MAX(M2:M11,M12:M40)</f>
        <v>2.8866666666666667</v>
      </c>
      <c r="N52" s="15"/>
      <c r="O52" s="15">
        <f>MAX(O2:O11,O12:O40)</f>
        <v>1.4666666666666666</v>
      </c>
      <c r="P52" s="15"/>
      <c r="Q52" s="15">
        <f>MAX(Q2:Q11,Q12:Q40)</f>
        <v>4.25</v>
      </c>
      <c r="R52" s="15"/>
      <c r="S52" s="15">
        <f>MAX(S2:S11,S12:S40)</f>
        <v>2.75</v>
      </c>
      <c r="T52" s="15"/>
      <c r="U52" s="15">
        <f>MAX(U2:U11,U12:U40)</f>
        <v>1361.06</v>
      </c>
      <c r="V52" s="15"/>
      <c r="W52" s="15">
        <f>MAX(W2:W11,W12:W40)</f>
        <v>3.6880184827391838</v>
      </c>
      <c r="X52" s="15"/>
    </row>
    <row r="53" spans="2:24" x14ac:dyDescent="0.3">
      <c r="B53" s="14" t="s">
        <v>67</v>
      </c>
      <c r="C53" s="18"/>
      <c r="D53" s="17">
        <f>COUNT(D2:D40)</f>
        <v>38</v>
      </c>
      <c r="E53" s="17"/>
      <c r="F53" s="17">
        <f>COUNT(F2:F40)</f>
        <v>38</v>
      </c>
      <c r="G53" s="17"/>
      <c r="H53" s="17"/>
      <c r="I53" s="17"/>
      <c r="J53" s="17">
        <f>COUNT(J2:J40)</f>
        <v>38</v>
      </c>
      <c r="K53" s="17"/>
      <c r="L53" s="17">
        <f>COUNT(L2:L40)</f>
        <v>38</v>
      </c>
      <c r="M53" s="17"/>
      <c r="N53" s="17">
        <f>COUNT(N2:N40)</f>
        <v>38</v>
      </c>
      <c r="O53" s="17"/>
      <c r="P53" s="17">
        <f>COUNT(P2:P40)</f>
        <v>38</v>
      </c>
      <c r="Q53" s="17"/>
      <c r="R53" s="17">
        <f>COUNT(R2:R40)</f>
        <v>38</v>
      </c>
      <c r="S53" s="17"/>
      <c r="T53" s="17">
        <f>COUNT(T2:T40)</f>
        <v>38</v>
      </c>
      <c r="U53" s="17"/>
      <c r="V53" s="17">
        <f>COUNT(V2:V40)</f>
        <v>38</v>
      </c>
      <c r="W53" s="17"/>
      <c r="X53" s="17">
        <f>COUNT(X2:X40)</f>
        <v>38</v>
      </c>
    </row>
    <row r="54" spans="2:24" s="4" customFormat="1" x14ac:dyDescent="0.3">
      <c r="B54" s="12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</row>
    <row r="55" spans="2:24" s="4" customFormat="1" x14ac:dyDescent="0.3">
      <c r="B55" s="13" t="s">
        <v>165</v>
      </c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</row>
    <row r="56" spans="2:24" s="4" customFormat="1" x14ac:dyDescent="0.3">
      <c r="B56" s="14" t="s">
        <v>45</v>
      </c>
      <c r="C56" s="15">
        <f>AVERAGE(C2:C11)</f>
        <v>2.2333333333333334</v>
      </c>
      <c r="D56" s="15"/>
      <c r="E56" s="15">
        <f>AVERAGE(E2:E11)</f>
        <v>416.9</v>
      </c>
      <c r="F56" s="15"/>
      <c r="G56" s="15"/>
      <c r="H56" s="15"/>
      <c r="I56" s="15">
        <f>AVERAGE(I2:I11)</f>
        <v>2.2999999999999998</v>
      </c>
      <c r="J56" s="15"/>
      <c r="K56" s="15">
        <f>AVERAGE(K2:K11)</f>
        <v>0.9</v>
      </c>
      <c r="L56" s="15"/>
      <c r="M56" s="15">
        <f>AVERAGE(M2:M11)</f>
        <v>0.97650000000000026</v>
      </c>
      <c r="N56" s="15"/>
      <c r="O56" s="15">
        <f>AVERAGE(O2:O11)</f>
        <v>0.52183333333333337</v>
      </c>
      <c r="P56" s="15"/>
      <c r="Q56" s="15">
        <f>AVERAGE(Q2:Q11)</f>
        <v>1.7250000000000001</v>
      </c>
      <c r="R56" s="15"/>
      <c r="S56" s="15">
        <f>AVERAGE(S2:S11)</f>
        <v>1.75</v>
      </c>
      <c r="T56" s="15"/>
      <c r="U56" s="15">
        <f>AVERAGE(U2:U11)</f>
        <v>305.09759999999994</v>
      </c>
      <c r="V56" s="15"/>
      <c r="W56" s="15">
        <f>AVERAGE(W2:W11)</f>
        <v>2.2475646104924332</v>
      </c>
      <c r="X56" s="15"/>
    </row>
    <row r="57" spans="2:24" s="11" customFormat="1" x14ac:dyDescent="0.3">
      <c r="B57" s="14" t="s">
        <v>63</v>
      </c>
      <c r="C57" s="15">
        <f>_xlfn.STDEV.S(C2:C11)</f>
        <v>0.61085853366237541</v>
      </c>
      <c r="D57" s="15"/>
      <c r="E57" s="15">
        <f>_xlfn.STDEV.S(E2:E11)</f>
        <v>171.381896129631</v>
      </c>
      <c r="F57" s="15"/>
      <c r="G57" s="15"/>
      <c r="H57" s="15"/>
      <c r="I57" s="15">
        <f>_xlfn.STDEV.S(I2:I11)</f>
        <v>0.19720265943665388</v>
      </c>
      <c r="J57" s="15"/>
      <c r="K57" s="15">
        <f>_xlfn.STDEV.S(K2:K11)</f>
        <v>0.316227766016838</v>
      </c>
      <c r="L57" s="15"/>
      <c r="M57" s="15">
        <f>_xlfn.STDEV.S(M2:M11)</f>
        <v>0.33289735377162083</v>
      </c>
      <c r="N57" s="15"/>
      <c r="O57" s="15">
        <f>_xlfn.STDEV.S(O2:O11)</f>
        <v>0.14811250728690953</v>
      </c>
      <c r="P57" s="15"/>
      <c r="Q57" s="15">
        <f>_xlfn.STDEV.S(Q2:Q11)</f>
        <v>0.57069645560879756</v>
      </c>
      <c r="R57" s="15"/>
      <c r="S57" s="15">
        <f>_xlfn.STDEV.S(S2:S11)</f>
        <v>0.11785113019775792</v>
      </c>
      <c r="T57" s="15"/>
      <c r="U57" s="15">
        <f>_xlfn.STDEV.S(U2:U11)</f>
        <v>357.48651777940438</v>
      </c>
      <c r="V57" s="15"/>
      <c r="W57" s="15">
        <f>_xlfn.STDEV.S(W2:W11)</f>
        <v>1.0161988397866528</v>
      </c>
      <c r="X57" s="15"/>
    </row>
    <row r="58" spans="2:24" s="11" customFormat="1" x14ac:dyDescent="0.3">
      <c r="B58" s="14" t="s">
        <v>61</v>
      </c>
      <c r="C58" s="15">
        <f>C57/SQRT(COUNT(C2:C11))</f>
        <v>0.19317042945237436</v>
      </c>
      <c r="D58" s="15"/>
      <c r="E58" s="15">
        <f>E57/SQRT(COUNT(E2:E11))</f>
        <v>54.195714148802971</v>
      </c>
      <c r="F58" s="15"/>
      <c r="G58" s="15"/>
      <c r="H58" s="15"/>
      <c r="I58" s="15">
        <f>I57/SQRT(COUNT(I2:I11))</f>
        <v>6.2360956446232359E-2</v>
      </c>
      <c r="J58" s="15"/>
      <c r="K58" s="15">
        <f>K57/SQRT(COUNT(K2:K11))</f>
        <v>0.10000000000000002</v>
      </c>
      <c r="L58" s="15"/>
      <c r="M58" s="15">
        <f>M57/SQRT(COUNT(M2:M11))</f>
        <v>0.10527138649611663</v>
      </c>
      <c r="N58" s="15"/>
      <c r="O58" s="15">
        <f>O57/SQRT(COUNT(O2:O11))</f>
        <v>4.6837287298492028E-2</v>
      </c>
      <c r="P58" s="15"/>
      <c r="Q58" s="15">
        <f>Q57/SQRT(COUNT(Q2:Q11))</f>
        <v>0.18047006523089756</v>
      </c>
      <c r="R58" s="15"/>
      <c r="S58" s="15">
        <f>S57/SQRT(COUNT(S2:S11))</f>
        <v>3.7267799624996489E-2</v>
      </c>
      <c r="T58" s="15"/>
      <c r="U58" s="15">
        <f>U57/SQRT(COUNT(U2:U11))</f>
        <v>113.04716289851966</v>
      </c>
      <c r="V58" s="15"/>
      <c r="W58" s="15">
        <f>W57/SQRT(COUNT(W2:W11))</f>
        <v>0.3213502889346358</v>
      </c>
      <c r="X58" s="15"/>
    </row>
    <row r="59" spans="2:24" s="4" customFormat="1" x14ac:dyDescent="0.3">
      <c r="B59" s="14" t="s">
        <v>78</v>
      </c>
      <c r="C59" s="15">
        <f>MEDIAN(C2:C11)</f>
        <v>2</v>
      </c>
      <c r="D59" s="15"/>
      <c r="E59" s="15">
        <f>MEDIAN(E2:E11)</f>
        <v>437.83333333333337</v>
      </c>
      <c r="F59" s="15"/>
      <c r="G59" s="15"/>
      <c r="H59" s="15"/>
      <c r="I59" s="15">
        <f>MEDIAN(I2:I11)</f>
        <v>2.25</v>
      </c>
      <c r="J59" s="15"/>
      <c r="K59" s="15">
        <f>MEDIAN(K2:K11)</f>
        <v>1</v>
      </c>
      <c r="L59" s="15"/>
      <c r="M59" s="15">
        <f>MEDIAN(M2:M11)</f>
        <v>0.92749999999999999</v>
      </c>
      <c r="N59" s="15"/>
      <c r="O59" s="15">
        <f>MEDIAN(O2:O11)</f>
        <v>0.4975</v>
      </c>
      <c r="P59" s="15"/>
      <c r="Q59" s="15">
        <f>MEDIAN(Q2:Q11)</f>
        <v>1.5</v>
      </c>
      <c r="R59" s="15"/>
      <c r="S59" s="15">
        <f>MEDIAN(S2:S11)</f>
        <v>1.75</v>
      </c>
      <c r="T59" s="15"/>
      <c r="U59" s="15">
        <f>MEDIAN(U2:U11)</f>
        <v>222.23599999999999</v>
      </c>
      <c r="V59" s="15"/>
      <c r="W59" s="15">
        <f>MEDIAN(W2:W11)</f>
        <v>2.3472471759217779</v>
      </c>
      <c r="X59" s="15"/>
    </row>
    <row r="60" spans="2:24" s="4" customFormat="1" x14ac:dyDescent="0.3">
      <c r="B60" s="14" t="s">
        <v>121</v>
      </c>
      <c r="C60" s="15">
        <f>_xlfn.QUARTILE.INC(C2:C11, 1)</f>
        <v>1.875</v>
      </c>
      <c r="D60" s="15"/>
      <c r="E60" s="15">
        <f>_xlfn.QUARTILE.INC(E2:E11, 1)</f>
        <v>289.66666666666663</v>
      </c>
      <c r="F60" s="15"/>
      <c r="G60" s="15"/>
      <c r="H60" s="15"/>
      <c r="I60" s="15">
        <f>_xlfn.QUARTILE.INC(I2:I11, 1)</f>
        <v>2.25</v>
      </c>
      <c r="J60" s="15"/>
      <c r="K60" s="15">
        <f>_xlfn.QUARTILE.INC(K2:K11, 1)</f>
        <v>1</v>
      </c>
      <c r="L60" s="15"/>
      <c r="M60" s="15">
        <f>_xlfn.QUARTILE.INC(M2:M11, 1)</f>
        <v>0.74749999999999994</v>
      </c>
      <c r="N60" s="15"/>
      <c r="O60" s="15">
        <f>_xlfn.QUARTILE.INC(O2:O11, 1)</f>
        <v>0.41750000000000004</v>
      </c>
      <c r="P60" s="15"/>
      <c r="Q60" s="15">
        <f>_xlfn.QUARTILE.INC(Q2:Q11, 1)</f>
        <v>1.5</v>
      </c>
      <c r="R60" s="15"/>
      <c r="S60" s="15">
        <f>_xlfn.QUARTILE.INC(S2:S11, 1)</f>
        <v>1.75</v>
      </c>
      <c r="T60" s="15"/>
      <c r="U60" s="15">
        <f>_xlfn.QUARTILE.INC(U2:U11, 1)</f>
        <v>90.228750000000005</v>
      </c>
      <c r="V60" s="15"/>
      <c r="W60" s="15">
        <f>_xlfn.QUARTILE.INC(W2:W11, 1)</f>
        <v>1.652877748778204</v>
      </c>
      <c r="X60" s="15"/>
    </row>
    <row r="61" spans="2:24" s="4" customFormat="1" x14ac:dyDescent="0.3">
      <c r="B61" s="14" t="s">
        <v>122</v>
      </c>
      <c r="C61" s="15">
        <f>_xlfn.QUARTILE.INC(C2:C11, 3)</f>
        <v>2.25</v>
      </c>
      <c r="D61" s="15"/>
      <c r="E61" s="15">
        <f>_xlfn.QUARTILE.INC(E2:E11, 3)</f>
        <v>539.16666666666663</v>
      </c>
      <c r="F61" s="15"/>
      <c r="G61" s="15"/>
      <c r="H61" s="15"/>
      <c r="I61" s="15">
        <f>_xlfn.QUARTILE.INC(I2:I11, 3)</f>
        <v>2.5</v>
      </c>
      <c r="J61" s="15"/>
      <c r="K61" s="15">
        <f>_xlfn.QUARTILE.INC(K2:K11, 3)</f>
        <v>1</v>
      </c>
      <c r="L61" s="15"/>
      <c r="M61" s="15">
        <f>_xlfn.QUARTILE.INC(M2:M11, 3)</f>
        <v>1.1812500000000001</v>
      </c>
      <c r="N61" s="15"/>
      <c r="O61" s="15">
        <f>_xlfn.QUARTILE.INC(O2:O11, 3)</f>
        <v>0.5970833333333333</v>
      </c>
      <c r="P61" s="15"/>
      <c r="Q61" s="15">
        <f>_xlfn.QUARTILE.INC(Q2:Q11, 3)</f>
        <v>1.6875</v>
      </c>
      <c r="R61" s="15"/>
      <c r="S61" s="15">
        <f>_xlfn.QUARTILE.INC(S2:S11, 3)</f>
        <v>1.75</v>
      </c>
      <c r="T61" s="15"/>
      <c r="U61" s="15">
        <f>_xlfn.QUARTILE.INC(U2:U11, 3)</f>
        <v>292.63550000000004</v>
      </c>
      <c r="V61" s="15"/>
      <c r="W61" s="15">
        <f>_xlfn.QUARTILE.INC(W2:W11, 3)</f>
        <v>2.8580043421273551</v>
      </c>
      <c r="X61" s="15"/>
    </row>
    <row r="62" spans="2:24" s="4" customFormat="1" x14ac:dyDescent="0.3">
      <c r="B62" s="14" t="s">
        <v>137</v>
      </c>
      <c r="C62" s="15">
        <f>_xlfn.QUARTILE.INC(C2:C11, 3) + 1.5 * (_xlfn.QUARTILE.INC(C2:C11, 3) - _xlfn.QUARTILE.INC(C2:C11, 1))</f>
        <v>2.8125</v>
      </c>
      <c r="D62" s="15"/>
      <c r="E62" s="15">
        <f>_xlfn.QUARTILE.INC(E2:E11, 3) + 1.5 * (_xlfn.QUARTILE.INC(E2:E11, 3) - _xlfn.QUARTILE.INC(E2:E11, 1))</f>
        <v>913.41666666666663</v>
      </c>
      <c r="F62" s="15"/>
      <c r="G62" s="15"/>
      <c r="H62" s="15"/>
      <c r="I62" s="15">
        <f>_xlfn.QUARTILE.INC(I2:I11, 3) + 1.5 * (_xlfn.QUARTILE.INC(I2:I11, 3) - _xlfn.QUARTILE.INC(I2:I11, 1))</f>
        <v>2.875</v>
      </c>
      <c r="J62" s="15"/>
      <c r="K62" s="15">
        <f>_xlfn.QUARTILE.INC(K2:K11, 3) + 1.5 * (_xlfn.QUARTILE.INC(K2:K11, 3) - _xlfn.QUARTILE.INC(K2:K11, 1))</f>
        <v>1</v>
      </c>
      <c r="L62" s="15"/>
      <c r="M62" s="15">
        <f>_xlfn.QUARTILE.INC(M2:M11, 3) + 1.5 * (_xlfn.QUARTILE.INC(M2:M11, 3) - _xlfn.QUARTILE.INC(M2:M11, 1))</f>
        <v>1.8318750000000004</v>
      </c>
      <c r="N62" s="15"/>
      <c r="O62" s="15">
        <f>_xlfn.QUARTILE.INC(O2:O11, 3) + 1.5 * (_xlfn.QUARTILE.INC(O2:O11, 3) - _xlfn.QUARTILE.INC(O2:O11, 1))</f>
        <v>0.86645833333333322</v>
      </c>
      <c r="P62" s="15"/>
      <c r="Q62" s="15">
        <f>_xlfn.QUARTILE.INC(Q2:Q11, 3) + 1.5 * (_xlfn.QUARTILE.INC(Q2:Q11, 3) - _xlfn.QUARTILE.INC(Q2:Q11, 1))</f>
        <v>1.96875</v>
      </c>
      <c r="R62" s="15"/>
      <c r="S62" s="15">
        <f>_xlfn.QUARTILE.INC(S2:S11, 3) + 1.5 * (_xlfn.QUARTILE.INC(S2:S11, 3) - _xlfn.QUARTILE.INC(S2:S11, 1))</f>
        <v>1.75</v>
      </c>
      <c r="T62" s="15"/>
      <c r="U62" s="15">
        <f>_xlfn.QUARTILE.INC(U2:U11, 3) + 1.5 * (_xlfn.QUARTILE.INC(U2:U11, 3) - _xlfn.QUARTILE.INC(U2:U11, 1))</f>
        <v>596.24562500000002</v>
      </c>
      <c r="V62" s="15"/>
      <c r="W62" s="15">
        <f>_xlfn.QUARTILE.INC(W2:W11, 3) + 1.5 * (_xlfn.QUARTILE.INC(W2:W11, 3) - _xlfn.QUARTILE.INC(W2:W11, 1))</f>
        <v>4.6656942321510817</v>
      </c>
      <c r="X62" s="15"/>
    </row>
    <row r="63" spans="2:24" s="4" customFormat="1" x14ac:dyDescent="0.3">
      <c r="B63" s="14" t="s">
        <v>138</v>
      </c>
      <c r="C63" s="15">
        <f>_xlfn.QUARTILE.INC(C2:C11, 1) - 1.5 * (_xlfn.QUARTILE.INC(C2:C11, 3) - _xlfn.QUARTILE.INC(C2:C11, 1))</f>
        <v>1.3125</v>
      </c>
      <c r="D63" s="15"/>
      <c r="E63" s="15">
        <f>_xlfn.QUARTILE.INC(E2:E11, 1) - 1.5 * (_xlfn.QUARTILE.INC(E2:E11, 3) - _xlfn.QUARTILE.INC(E2:E11, 1))</f>
        <v>-84.583333333333371</v>
      </c>
      <c r="F63" s="15"/>
      <c r="G63" s="15"/>
      <c r="H63" s="15"/>
      <c r="I63" s="15">
        <f>_xlfn.QUARTILE.INC(I2:I11, 1) - 1.5 * (_xlfn.QUARTILE.INC(I2:I11, 3) - _xlfn.QUARTILE.INC(I2:I11, 1))</f>
        <v>1.875</v>
      </c>
      <c r="J63" s="15"/>
      <c r="K63" s="15">
        <f>_xlfn.QUARTILE.INC(K2:K11, 1) - 1.5 * (_xlfn.QUARTILE.INC(K2:K11, 3) - _xlfn.QUARTILE.INC(K2:K11, 1))</f>
        <v>1</v>
      </c>
      <c r="L63" s="15"/>
      <c r="M63" s="15">
        <f>_xlfn.QUARTILE.INC(M2:M11, 1) - 1.5 * (_xlfn.QUARTILE.INC(M2:M11, 3) - _xlfn.QUARTILE.INC(M2:M11, 1))</f>
        <v>9.6874999999999711E-2</v>
      </c>
      <c r="N63" s="15"/>
      <c r="O63" s="15">
        <f>_xlfn.QUARTILE.INC(O2:O11, 1) - 1.5 * (_xlfn.QUARTILE.INC(O2:O11, 3) - _xlfn.QUARTILE.INC(O2:O11, 1))</f>
        <v>0.14812500000000012</v>
      </c>
      <c r="P63" s="15"/>
      <c r="Q63" s="15">
        <f>_xlfn.QUARTILE.INC(Q2:Q11, 1) - 1.5 * (_xlfn.QUARTILE.INC(Q2:Q11, 3) - _xlfn.QUARTILE.INC(Q2:Q11, 1))</f>
        <v>1.21875</v>
      </c>
      <c r="R63" s="15"/>
      <c r="S63" s="15">
        <f>_xlfn.QUARTILE.INC(S2:S11, 1) - 1.5 * (_xlfn.QUARTILE.INC(S2:S11, 3) - _xlfn.QUARTILE.INC(S2:S11, 1))</f>
        <v>1.75</v>
      </c>
      <c r="T63" s="15"/>
      <c r="U63" s="15">
        <f>_xlfn.QUARTILE.INC(U2:U11, 1) - 1.5 * (_xlfn.QUARTILE.INC(U2:U11, 3) - _xlfn.QUARTILE.INC(U2:U11, 1))</f>
        <v>-213.38137500000005</v>
      </c>
      <c r="V63" s="15"/>
      <c r="W63" s="15">
        <f>_xlfn.QUARTILE.INC(W2:W11, 1) - 1.5 * (_xlfn.QUARTILE.INC(W2:W11, 3) - _xlfn.QUARTILE.INC(W2:W11, 1))</f>
        <v>-0.15481214124552256</v>
      </c>
      <c r="X63" s="15"/>
    </row>
    <row r="64" spans="2:24" s="11" customFormat="1" x14ac:dyDescent="0.3">
      <c r="B64" s="14" t="s">
        <v>58</v>
      </c>
      <c r="C64" s="15">
        <f>C56-C58</f>
        <v>2.040162903880959</v>
      </c>
      <c r="D64" s="15"/>
      <c r="E64" s="15">
        <f>E56-E58</f>
        <v>362.70428585119703</v>
      </c>
      <c r="F64" s="15"/>
      <c r="G64" s="15"/>
      <c r="H64" s="15"/>
      <c r="I64" s="15">
        <f>I56-I58</f>
        <v>2.2376390435537674</v>
      </c>
      <c r="J64" s="15"/>
      <c r="K64" s="15">
        <f>K56-K58</f>
        <v>0.8</v>
      </c>
      <c r="L64" s="15"/>
      <c r="M64" s="15">
        <f>M56-M58</f>
        <v>0.87122861350388359</v>
      </c>
      <c r="N64" s="15"/>
      <c r="O64" s="15">
        <f>O56-O58</f>
        <v>0.47499604603484136</v>
      </c>
      <c r="P64" s="15"/>
      <c r="Q64" s="15">
        <f>Q56-Q58</f>
        <v>1.5445299347691026</v>
      </c>
      <c r="R64" s="15"/>
      <c r="S64" s="15">
        <f>S56-S58</f>
        <v>1.7127322003750036</v>
      </c>
      <c r="T64" s="15"/>
      <c r="U64" s="15">
        <f>U56-U58</f>
        <v>192.05043710148027</v>
      </c>
      <c r="V64" s="15"/>
      <c r="W64" s="15">
        <f>W56-W58</f>
        <v>1.9262143215577974</v>
      </c>
      <c r="X64" s="15"/>
    </row>
    <row r="65" spans="2:24" s="11" customFormat="1" x14ac:dyDescent="0.3">
      <c r="B65" s="14" t="s">
        <v>57</v>
      </c>
      <c r="C65" s="15">
        <f>C56+C58</f>
        <v>2.4265037627857078</v>
      </c>
      <c r="D65" s="15"/>
      <c r="E65" s="15">
        <f>E56+E58</f>
        <v>471.09571414880293</v>
      </c>
      <c r="F65" s="15"/>
      <c r="G65" s="15"/>
      <c r="H65" s="15"/>
      <c r="I65" s="15">
        <f>I56+I58</f>
        <v>2.3623609564462322</v>
      </c>
      <c r="J65" s="15"/>
      <c r="K65" s="15">
        <f>K56+K58</f>
        <v>1</v>
      </c>
      <c r="L65" s="15"/>
      <c r="M65" s="15">
        <f>M56+M58</f>
        <v>1.0817713864961169</v>
      </c>
      <c r="N65" s="15"/>
      <c r="O65" s="15">
        <f>O56+O58</f>
        <v>0.56867062063182539</v>
      </c>
      <c r="P65" s="15"/>
      <c r="Q65" s="15">
        <f>Q56+Q58</f>
        <v>1.9054700652308976</v>
      </c>
      <c r="R65" s="15"/>
      <c r="S65" s="15">
        <f>S56+S58</f>
        <v>1.7872677996249964</v>
      </c>
      <c r="T65" s="15"/>
      <c r="U65" s="15">
        <f>U56+U58</f>
        <v>418.14476289851962</v>
      </c>
      <c r="V65" s="15"/>
      <c r="W65" s="15">
        <f>W56+W58</f>
        <v>2.5689148994270692</v>
      </c>
      <c r="X65" s="15"/>
    </row>
    <row r="66" spans="2:24" s="4" customFormat="1" x14ac:dyDescent="0.3">
      <c r="B66" s="14" t="s">
        <v>53</v>
      </c>
      <c r="C66" s="15">
        <f>MIN(C2:C11)</f>
        <v>1.75</v>
      </c>
      <c r="D66" s="15"/>
      <c r="E66" s="15">
        <f>MIN(E2:E11)</f>
        <v>165.33333333333334</v>
      </c>
      <c r="F66" s="15"/>
      <c r="G66" s="15"/>
      <c r="H66" s="15"/>
      <c r="I66" s="15">
        <f>MIN(I2:I11)</f>
        <v>2</v>
      </c>
      <c r="J66" s="15"/>
      <c r="K66" s="15">
        <f>MIN(K2:K11)</f>
        <v>0</v>
      </c>
      <c r="L66" s="15"/>
      <c r="M66" s="15">
        <f>MIN(M2:M11)</f>
        <v>0.57499999999999996</v>
      </c>
      <c r="N66" s="15"/>
      <c r="O66" s="15">
        <f>MIN(O2:O11)</f>
        <v>0.36333333333333329</v>
      </c>
      <c r="P66" s="15"/>
      <c r="Q66" s="15">
        <f>MIN(Q2:Q11)</f>
        <v>1.25</v>
      </c>
      <c r="R66" s="15"/>
      <c r="S66" s="15">
        <f>MIN(S2:S11)</f>
        <v>1.5</v>
      </c>
      <c r="T66" s="15"/>
      <c r="U66" s="15">
        <f>MIN(U2:U11)</f>
        <v>47.404000000000003</v>
      </c>
      <c r="V66" s="15"/>
      <c r="W66" s="15">
        <f>MIN(W2:W11)</f>
        <v>0.4389657564348991</v>
      </c>
      <c r="X66" s="15"/>
    </row>
    <row r="67" spans="2:24" s="4" customFormat="1" x14ac:dyDescent="0.3">
      <c r="B67" s="14" t="s">
        <v>54</v>
      </c>
      <c r="C67" s="15">
        <f>MAX(C2:C11)</f>
        <v>3.75</v>
      </c>
      <c r="D67" s="15"/>
      <c r="E67" s="15">
        <f>MAX(E2:E11)</f>
        <v>664</v>
      </c>
      <c r="F67" s="15"/>
      <c r="G67" s="15"/>
      <c r="H67" s="15"/>
      <c r="I67" s="15">
        <f>MAX(I2:I11)</f>
        <v>2.5</v>
      </c>
      <c r="J67" s="15"/>
      <c r="K67" s="15">
        <f>MAX(K2:K11)</f>
        <v>1</v>
      </c>
      <c r="L67" s="15"/>
      <c r="M67" s="15">
        <f>MAX(M2:M11)</f>
        <v>1.6300000000000001</v>
      </c>
      <c r="N67" s="15"/>
      <c r="O67" s="15">
        <f>MAX(O2:O11)</f>
        <v>0.85333333333333339</v>
      </c>
      <c r="P67" s="15"/>
      <c r="Q67" s="15">
        <f>MAX(Q2:Q11)</f>
        <v>3.25</v>
      </c>
      <c r="R67" s="15"/>
      <c r="S67" s="15">
        <f>MAX(S2:S11)</f>
        <v>2</v>
      </c>
      <c r="T67" s="15"/>
      <c r="U67" s="15">
        <f>MAX(U2:U11)</f>
        <v>1259.02</v>
      </c>
      <c r="V67" s="15"/>
      <c r="W67" s="15">
        <f>MAX(W2:W11)</f>
        <v>3.6815877856793358</v>
      </c>
      <c r="X67" s="15"/>
    </row>
    <row r="68" spans="2:24" s="4" customFormat="1" x14ac:dyDescent="0.3">
      <c r="B68" s="14" t="s">
        <v>127</v>
      </c>
      <c r="C68" s="15"/>
      <c r="D68" s="15"/>
      <c r="E68" s="15">
        <f>SUM(E2:E11)</f>
        <v>4169</v>
      </c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6"/>
      <c r="X68" s="15"/>
    </row>
    <row r="69" spans="2:24" s="4" customFormat="1" x14ac:dyDescent="0.3">
      <c r="B69" s="14" t="s">
        <v>168</v>
      </c>
      <c r="C69" s="15"/>
      <c r="D69" s="15"/>
      <c r="E69" s="15"/>
      <c r="F69" s="15"/>
      <c r="G69" s="15"/>
      <c r="H69" s="15">
        <f>_xlfn.STDEV.S('1. Dataset B'!H2:H11) * SQRT((COUNT('1. Dataset B'!H2:H11)-1) / (COUNT('1. Dataset B'!H2:H11)-2))</f>
        <v>0.30480004724963955</v>
      </c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6"/>
      <c r="X69" s="15"/>
    </row>
    <row r="70" spans="2:24" s="4" customFormat="1" x14ac:dyDescent="0.3">
      <c r="B70" s="12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10"/>
      <c r="X70" s="47"/>
    </row>
    <row r="71" spans="2:24" s="4" customFormat="1" x14ac:dyDescent="0.3">
      <c r="B71" s="13" t="s">
        <v>166</v>
      </c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10"/>
      <c r="X71" s="6"/>
    </row>
    <row r="72" spans="2:24" s="4" customFormat="1" x14ac:dyDescent="0.3">
      <c r="B72" s="14" t="s">
        <v>46</v>
      </c>
      <c r="C72" s="15">
        <f>AVERAGE(C12)</f>
        <v>3.75</v>
      </c>
      <c r="D72" s="15"/>
      <c r="E72" s="15">
        <f>AVERAGE(E12)</f>
        <v>227.16666666666666</v>
      </c>
      <c r="F72" s="15"/>
      <c r="G72" s="15"/>
      <c r="H72" s="15"/>
      <c r="I72" s="15">
        <f>AVERAGE(I12)</f>
        <v>2</v>
      </c>
      <c r="J72" s="15"/>
      <c r="K72" s="15">
        <f>AVERAGE(K12)</f>
        <v>1.25</v>
      </c>
      <c r="L72" s="15"/>
      <c r="M72" s="15">
        <f>AVERAGE(M12)</f>
        <v>2.8866666666666667</v>
      </c>
      <c r="N72" s="15"/>
      <c r="O72" s="15">
        <f>AVERAGE(O12)</f>
        <v>1.4666666666666666</v>
      </c>
      <c r="P72" s="15"/>
      <c r="Q72" s="15">
        <f>AVERAGE(Q12)</f>
        <v>4.25</v>
      </c>
      <c r="R72" s="15"/>
      <c r="S72" s="15">
        <f>AVERAGE(S12)</f>
        <v>1</v>
      </c>
      <c r="T72" s="15"/>
      <c r="U72" s="15">
        <f>AVERAGE(U12)</f>
        <v>1361.06</v>
      </c>
      <c r="V72" s="15"/>
      <c r="W72" s="15">
        <f>AVERAGE(W12)</f>
        <v>0.16690422660769302</v>
      </c>
      <c r="X72" s="15"/>
    </row>
    <row r="73" spans="2:24" s="4" customFormat="1" x14ac:dyDescent="0.3">
      <c r="B73" s="12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</row>
    <row r="74" spans="2:24" s="4" customFormat="1" x14ac:dyDescent="0.3">
      <c r="B74" s="13" t="s">
        <v>167</v>
      </c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</row>
    <row r="75" spans="2:24" s="4" customFormat="1" x14ac:dyDescent="0.3">
      <c r="B75" s="14" t="s">
        <v>47</v>
      </c>
      <c r="C75" s="15">
        <f>AVERAGE(C13:C40)</f>
        <v>1.5044642857142858</v>
      </c>
      <c r="D75" s="15"/>
      <c r="E75" s="15">
        <f>AVERAGE(E13:E40)</f>
        <v>243.3095238095238</v>
      </c>
      <c r="F75" s="15"/>
      <c r="G75" s="15"/>
      <c r="H75" s="15"/>
      <c r="I75" s="15">
        <f>AVERAGE(I13:I40)</f>
        <v>1.2916666666666667</v>
      </c>
      <c r="J75" s="15"/>
      <c r="K75" s="15">
        <f>AVERAGE(K13:K40)</f>
        <v>1.0178571428571428</v>
      </c>
      <c r="L75" s="15"/>
      <c r="M75" s="15">
        <f>AVERAGE(M13:M40)</f>
        <v>1.2474404761904763</v>
      </c>
      <c r="N75" s="15"/>
      <c r="O75" s="15">
        <f>AVERAGE(O13:O40)</f>
        <v>0.8425297619047617</v>
      </c>
      <c r="P75" s="15"/>
      <c r="Q75" s="15">
        <f>AVERAGE(Q13:Q40)</f>
        <v>1.9866071428571428</v>
      </c>
      <c r="R75" s="15"/>
      <c r="S75" s="15">
        <f>AVERAGE(S13:S40)</f>
        <v>2.09375</v>
      </c>
      <c r="T75" s="15"/>
      <c r="U75" s="15">
        <f>AVERAGE(U13:U40)</f>
        <v>211.79367857142856</v>
      </c>
      <c r="V75" s="15"/>
      <c r="W75" s="15">
        <f>AVERAGE(W13:W40)</f>
        <v>0.62682688026546507</v>
      </c>
      <c r="X75" s="15"/>
    </row>
    <row r="76" spans="2:24" s="11" customFormat="1" x14ac:dyDescent="0.3">
      <c r="B76" s="14" t="s">
        <v>64</v>
      </c>
      <c r="C76" s="15">
        <f>_xlfn.STDEV.S(C13:C33,C35:C40)</f>
        <v>0.95512282738117793</v>
      </c>
      <c r="D76" s="15"/>
      <c r="E76" s="15">
        <f>_xlfn.STDEV.S(E13:E33,E35:E40)</f>
        <v>129.08260230484373</v>
      </c>
      <c r="F76" s="15"/>
      <c r="G76" s="15"/>
      <c r="H76" s="15"/>
      <c r="I76" s="15">
        <f>_xlfn.STDEV.S(I13:I33,I35:I40)</f>
        <v>0.56067795190167247</v>
      </c>
      <c r="J76" s="15"/>
      <c r="K76" s="15">
        <f>_xlfn.STDEV.S(K13:K33,K35:K40)</f>
        <v>0</v>
      </c>
      <c r="L76" s="15"/>
      <c r="M76" s="15">
        <f>_xlfn.STDEV.S(M13:M33,M35:M40)</f>
        <v>0.2736818967830732</v>
      </c>
      <c r="N76" s="15"/>
      <c r="O76" s="15">
        <f>_xlfn.STDEV.S(O13:O33,O35:O40)</f>
        <v>0.27228625547839141</v>
      </c>
      <c r="P76" s="15"/>
      <c r="Q76" s="15">
        <f>_xlfn.STDEV.S(Q13:Q33,Q35:Q40)</f>
        <v>0.69340734524429892</v>
      </c>
      <c r="R76" s="15"/>
      <c r="S76" s="15">
        <f>_xlfn.STDEV.S(S13:S33,S35:S40)</f>
        <v>0.32549545841269978</v>
      </c>
      <c r="T76" s="15"/>
      <c r="U76" s="15">
        <f>_xlfn.STDEV.S(U13:U33,U35:U40)</f>
        <v>116.93764074096367</v>
      </c>
      <c r="V76" s="15"/>
      <c r="W76" s="15">
        <f>_xlfn.STDEV.S(W13:W33,W35:W40)</f>
        <v>0.43421343746493235</v>
      </c>
      <c r="X76" s="15"/>
    </row>
    <row r="77" spans="2:24" s="11" customFormat="1" x14ac:dyDescent="0.3">
      <c r="B77" s="14" t="s">
        <v>62</v>
      </c>
      <c r="C77" s="15">
        <f>C76/SQRT(COUNT(C13:C33,C35:C40))</f>
        <v>0.18381347383255983</v>
      </c>
      <c r="D77" s="15"/>
      <c r="E77" s="15">
        <f>E76/SQRT(COUNT(E13:E33,E35:E40))</f>
        <v>24.841958396132977</v>
      </c>
      <c r="F77" s="15"/>
      <c r="G77" s="15"/>
      <c r="H77" s="15"/>
      <c r="I77" s="15">
        <f>I76/SQRT(COUNT(I13:I33,I35:I40))</f>
        <v>0.10790252215303954</v>
      </c>
      <c r="J77" s="15"/>
      <c r="K77" s="15">
        <f>K76/SQRT(COUNT(K13:K33,K35:K40))</f>
        <v>0</v>
      </c>
      <c r="L77" s="15"/>
      <c r="M77" s="15">
        <f>M76/SQRT(COUNT(M13:M33,M35:M40))</f>
        <v>5.2670105593344896E-2</v>
      </c>
      <c r="N77" s="15"/>
      <c r="O77" s="15">
        <f>O76/SQRT(COUNT(O13:O33,O35:O40))</f>
        <v>5.2401514299028167E-2</v>
      </c>
      <c r="P77" s="15"/>
      <c r="Q77" s="15">
        <f>Q76/SQRT(COUNT(Q13:Q33,Q35:Q40))</f>
        <v>0.13344630581161993</v>
      </c>
      <c r="R77" s="15"/>
      <c r="S77" s="15">
        <f>S76/SQRT(COUNT(S13:S33,S35:S40))</f>
        <v>6.2641630178190952E-2</v>
      </c>
      <c r="T77" s="15"/>
      <c r="U77" s="15">
        <f>U76/SQRT(COUNT(U13:U33,U35:U40))</f>
        <v>22.504659453398375</v>
      </c>
      <c r="V77" s="15"/>
      <c r="W77" s="15">
        <f>W76/SQRT(COUNT(W13:W33,W35:W40))</f>
        <v>8.3564415002043813E-2</v>
      </c>
      <c r="X77" s="15"/>
    </row>
    <row r="78" spans="2:24" s="4" customFormat="1" x14ac:dyDescent="0.3">
      <c r="B78" s="14" t="s">
        <v>80</v>
      </c>
      <c r="C78" s="15">
        <f>MEDIAN(C13:C40)</f>
        <v>1.375</v>
      </c>
      <c r="D78" s="15"/>
      <c r="E78" s="15">
        <f>MEDIAN(E13:E40)</f>
        <v>47.333333333333336</v>
      </c>
      <c r="F78" s="15"/>
      <c r="G78" s="15"/>
      <c r="H78" s="15"/>
      <c r="I78" s="15">
        <f>MEDIAN(I13:I40)</f>
        <v>1.375</v>
      </c>
      <c r="J78" s="15"/>
      <c r="K78" s="15">
        <f>MEDIAN(K13:K40)</f>
        <v>1</v>
      </c>
      <c r="L78" s="15"/>
      <c r="M78" s="15">
        <f>MEDIAN(M13:M40)</f>
        <v>1.2133333333333334</v>
      </c>
      <c r="N78" s="15"/>
      <c r="O78" s="15">
        <f>MEDIAN(O13:O40)</f>
        <v>0.91833333333333322</v>
      </c>
      <c r="P78" s="15"/>
      <c r="Q78" s="15">
        <f>MEDIAN(Q13:Q40)</f>
        <v>1.75</v>
      </c>
      <c r="R78" s="15"/>
      <c r="S78" s="15">
        <f>MEDIAN(S13:S40)</f>
        <v>2</v>
      </c>
      <c r="T78" s="15"/>
      <c r="U78" s="15">
        <f>MEDIAN(U13:U40)</f>
        <v>168.99099999999999</v>
      </c>
      <c r="V78" s="15"/>
      <c r="W78" s="15">
        <f>MEDIAN(W13:W40)</f>
        <v>0.36381859552469686</v>
      </c>
      <c r="X78" s="15"/>
    </row>
    <row r="79" spans="2:24" s="4" customFormat="1" x14ac:dyDescent="0.3">
      <c r="B79" s="14" t="s">
        <v>135</v>
      </c>
      <c r="C79" s="15">
        <f>_xlfn.QUARTILE.INC(C13:C40, 3) + 1.5 * (_xlfn.QUARTILE.INC(C13:C40, 3) - _xlfn.QUARTILE.INC(C13:C40, 1))</f>
        <v>3.96875</v>
      </c>
      <c r="D79" s="15"/>
      <c r="E79" s="15">
        <f>_xlfn.QUARTILE.INC(E13:E40, 3) + 1.5 * (_xlfn.QUARTILE.INC(E13:E40, 3) - _xlfn.QUARTILE.INC(E13:E40, 1))</f>
        <v>483.125</v>
      </c>
      <c r="F79" s="15"/>
      <c r="G79" s="15"/>
      <c r="H79" s="15"/>
      <c r="I79" s="15">
        <f>_xlfn.QUARTILE.INC(I13:I40, 3) + 1.5 * (_xlfn.QUARTILE.INC(I13:I40, 3) - _xlfn.QUARTILE.INC(I13:I40, 1))</f>
        <v>2.354166666666667</v>
      </c>
      <c r="J79" s="15"/>
      <c r="K79" s="15">
        <f>_xlfn.QUARTILE.INC(K13:K40, 3) + 1.5 * (_xlfn.QUARTILE.INC(K13:K40, 3) - _xlfn.QUARTILE.INC(K13:K40, 1))</f>
        <v>1</v>
      </c>
      <c r="L79" s="15"/>
      <c r="M79" s="15">
        <f>_xlfn.QUARTILE.INC(M13:M40, 3) + 1.5 * (_xlfn.QUARTILE.INC(M13:M40, 3) - _xlfn.QUARTILE.INC(M13:M40, 1))</f>
        <v>1.6833333333333338</v>
      </c>
      <c r="N79" s="15"/>
      <c r="O79" s="15">
        <f>_xlfn.QUARTILE.INC(O13:O40, 3) + 1.5 * (_xlfn.QUARTILE.INC(O13:O40, 3) - _xlfn.QUARTILE.INC(O13:O40, 1))</f>
        <v>1.7216666666666671</v>
      </c>
      <c r="P79" s="15"/>
      <c r="Q79" s="15">
        <f>_xlfn.QUARTILE.INC(Q13:Q40, 3) + 1.5 * (_xlfn.QUARTILE.INC(Q13:Q40, 3) - _xlfn.QUARTILE.INC(Q13:Q40, 1))</f>
        <v>3.53125</v>
      </c>
      <c r="R79" s="15"/>
      <c r="S79" s="15">
        <f>_xlfn.QUARTILE.INC(S13:S40, 3) + 1.5 * (_xlfn.QUARTILE.INC(S13:S40, 3) - _xlfn.QUARTILE.INC(S13:S40, 1))</f>
        <v>2.625</v>
      </c>
      <c r="T79" s="15"/>
      <c r="U79" s="15">
        <f>_xlfn.QUARTILE.INC(U13:U40, 3) + 1.5 * (_xlfn.QUARTILE.INC(U13:U40, 3) - _xlfn.QUARTILE.INC(U13:U40, 1))</f>
        <v>618.47699999999986</v>
      </c>
      <c r="V79" s="15"/>
      <c r="W79" s="15">
        <f>_xlfn.QUARTILE.INC(W13:W40, 3) + 1.5 * (_xlfn.QUARTILE.INC(W13:W40, 3) - _xlfn.QUARTILE.INC(W13:W40, 1))</f>
        <v>1.6127180680881872</v>
      </c>
      <c r="X79" s="15"/>
    </row>
    <row r="80" spans="2:24" s="4" customFormat="1" x14ac:dyDescent="0.3">
      <c r="B80" s="14" t="s">
        <v>136</v>
      </c>
      <c r="C80" s="15">
        <f>_xlfn.QUARTILE.INC(C13:C40, 1) - 1.5 * (_xlfn.QUARTILE.INC(C13:C40, 3) - _xlfn.QUARTILE.INC(C13:C40, 1))</f>
        <v>-1.28125</v>
      </c>
      <c r="D80" s="15"/>
      <c r="E80" s="15">
        <f>_xlfn.QUARTILE.INC(E13:E40, 1) - 1.5 * (_xlfn.QUARTILE.INC(E13:E40, 3) - _xlfn.QUARTILE.INC(E13:E40, 1))</f>
        <v>-248.54166666666666</v>
      </c>
      <c r="F80" s="15"/>
      <c r="G80" s="15"/>
      <c r="H80" s="15"/>
      <c r="I80" s="15">
        <f>_xlfn.QUARTILE.INC(I13:I40, 1) - 1.5 * (_xlfn.QUARTILE.INC(I13:I40, 3) - _xlfn.QUARTILE.INC(I13:I40, 1))</f>
        <v>0.18749999999999989</v>
      </c>
      <c r="J80" s="15"/>
      <c r="K80" s="15">
        <f>_xlfn.QUARTILE.INC(K13:K40, 1) - 1.5 * (_xlfn.QUARTILE.INC(K13:K40, 3) - _xlfn.QUARTILE.INC(K13:K40, 1))</f>
        <v>1</v>
      </c>
      <c r="L80" s="15"/>
      <c r="M80" s="15">
        <f>_xlfn.QUARTILE.INC(M13:M40, 1) - 1.5 * (_xlfn.QUARTILE.INC(M13:M40, 3) - _xlfn.QUARTILE.INC(M13:M40, 1))</f>
        <v>0.86999999999999944</v>
      </c>
      <c r="N80" s="15"/>
      <c r="O80" s="15">
        <f>_xlfn.QUARTILE.INC(O13:O40, 1) - 1.5 * (_xlfn.QUARTILE.INC(O13:O40, 3) - _xlfn.QUARTILE.INC(O13:O40, 1))</f>
        <v>8.3333333333331927E-3</v>
      </c>
      <c r="P80" s="15"/>
      <c r="Q80" s="15">
        <f>_xlfn.QUARTILE.INC(Q13:Q40, 1) - 1.5 * (_xlfn.QUARTILE.INC(Q13:Q40, 3) - _xlfn.QUARTILE.INC(Q13:Q40, 1))</f>
        <v>0.28125</v>
      </c>
      <c r="R80" s="15"/>
      <c r="S80" s="15">
        <f>_xlfn.QUARTILE.INC(S13:S40, 1) - 1.5 * (_xlfn.QUARTILE.INC(S13:S40, 3) - _xlfn.QUARTILE.INC(S13:S40, 1))</f>
        <v>1.625</v>
      </c>
      <c r="T80" s="15"/>
      <c r="U80" s="15">
        <f>_xlfn.QUARTILE.INC(U13:U40, 1) - 1.5 * (_xlfn.QUARTILE.INC(U13:U40, 3) - _xlfn.QUARTILE.INC(U13:U40, 1))</f>
        <v>-223.49099999999993</v>
      </c>
      <c r="V80" s="15"/>
      <c r="W80" s="15">
        <f>_xlfn.QUARTILE.INC(W13:W40, 1) - 1.5 * (_xlfn.QUARTILE.INC(W13:W40, 3) - _xlfn.QUARTILE.INC(W13:W40, 1))</f>
        <v>-0.61423694696654207</v>
      </c>
      <c r="X80" s="15"/>
    </row>
    <row r="81" spans="2:24" s="4" customFormat="1" x14ac:dyDescent="0.3">
      <c r="B81" s="14" t="s">
        <v>123</v>
      </c>
      <c r="C81" s="15">
        <f>_xlfn.QUARTILE.INC(C13:C40, 1)</f>
        <v>0.6875</v>
      </c>
      <c r="D81" s="15"/>
      <c r="E81" s="15">
        <f>_xlfn.QUARTILE.INC(E13:E40, 1)</f>
        <v>25.833333333333332</v>
      </c>
      <c r="F81" s="15"/>
      <c r="G81" s="15"/>
      <c r="H81" s="15"/>
      <c r="I81" s="15">
        <f>_xlfn.QUARTILE.INC(I13:I40, 1)</f>
        <v>1</v>
      </c>
      <c r="J81" s="15"/>
      <c r="K81" s="15">
        <f>_xlfn.QUARTILE.INC(K13:K40, 1)</f>
        <v>1</v>
      </c>
      <c r="L81" s="15"/>
      <c r="M81" s="15">
        <f>_xlfn.QUARTILE.INC(M13:M40, 1)</f>
        <v>1.1749999999999998</v>
      </c>
      <c r="N81" s="15"/>
      <c r="O81" s="15">
        <f>_xlfn.QUARTILE.INC(O13:O40, 1)</f>
        <v>0.65083333333333337</v>
      </c>
      <c r="P81" s="15"/>
      <c r="Q81" s="15">
        <f>_xlfn.QUARTILE.INC(Q13:Q40, 1)</f>
        <v>1.5</v>
      </c>
      <c r="R81" s="15"/>
      <c r="S81" s="15">
        <v>25</v>
      </c>
      <c r="T81" s="15"/>
      <c r="U81" s="15">
        <f>_xlfn.QUARTILE.INC(U13:U40, 1)</f>
        <v>92.247</v>
      </c>
      <c r="V81" s="15"/>
      <c r="W81" s="15">
        <f>_xlfn.QUARTILE.INC(W13:W40, 1)</f>
        <v>0.22087118367898145</v>
      </c>
      <c r="X81" s="15"/>
    </row>
    <row r="82" spans="2:24" s="4" customFormat="1" x14ac:dyDescent="0.3">
      <c r="B82" s="14" t="s">
        <v>124</v>
      </c>
      <c r="C82" s="15">
        <f>_xlfn.QUARTILE.INC(C13:C40, 3)</f>
        <v>2</v>
      </c>
      <c r="D82" s="15"/>
      <c r="E82" s="15">
        <f>_xlfn.QUARTILE.INC(E13:E40, 3)</f>
        <v>208.75</v>
      </c>
      <c r="F82" s="15"/>
      <c r="G82" s="15"/>
      <c r="H82" s="15"/>
      <c r="I82" s="15">
        <f>_xlfn.QUARTILE.INC(I13:I40, 3)</f>
        <v>1.5416666666666667</v>
      </c>
      <c r="J82" s="15"/>
      <c r="K82" s="15">
        <f>_xlfn.QUARTILE.INC(K13:K40, 3)</f>
        <v>1</v>
      </c>
      <c r="L82" s="15"/>
      <c r="M82" s="15">
        <f>_xlfn.QUARTILE.INC(M13:M40, 3)</f>
        <v>1.3783333333333334</v>
      </c>
      <c r="N82" s="15"/>
      <c r="O82" s="15">
        <f>_xlfn.QUARTILE.INC(O13:O40, 3)</f>
        <v>1.0791666666666668</v>
      </c>
      <c r="P82" s="15"/>
      <c r="Q82" s="15">
        <f>_xlfn.QUARTILE.INC(Q13:Q40, 3)</f>
        <v>2.3125</v>
      </c>
      <c r="R82" s="15"/>
      <c r="S82" s="15">
        <f>_xlfn.QUARTILE.INC(S13:S40, 3)</f>
        <v>2.25</v>
      </c>
      <c r="T82" s="15"/>
      <c r="U82" s="15">
        <f>_xlfn.QUARTILE.INC(U13:U40, 3)</f>
        <v>302.73899999999998</v>
      </c>
      <c r="V82" s="15"/>
      <c r="W82" s="15">
        <f>_xlfn.QUARTILE.INC(W13:W40, 3)</f>
        <v>0.77760993744266382</v>
      </c>
      <c r="X82" s="15"/>
    </row>
    <row r="83" spans="2:24" s="11" customFormat="1" x14ac:dyDescent="0.3">
      <c r="B83" s="14" t="s">
        <v>59</v>
      </c>
      <c r="C83" s="15">
        <f>C75-C77</f>
        <v>1.320650811881726</v>
      </c>
      <c r="D83" s="15"/>
      <c r="E83" s="15">
        <f>E75-E77</f>
        <v>218.46756541339082</v>
      </c>
      <c r="F83" s="15"/>
      <c r="G83" s="15"/>
      <c r="H83" s="15"/>
      <c r="I83" s="15">
        <f>I75-I77</f>
        <v>1.1837641445136271</v>
      </c>
      <c r="J83" s="15"/>
      <c r="K83" s="15">
        <f>K75-K77</f>
        <v>1.0178571428571428</v>
      </c>
      <c r="L83" s="15"/>
      <c r="M83" s="15">
        <f>M75-M77</f>
        <v>1.1947703705971313</v>
      </c>
      <c r="N83" s="15"/>
      <c r="O83" s="15">
        <f>O75-O77</f>
        <v>0.79012824760573352</v>
      </c>
      <c r="P83" s="15"/>
      <c r="Q83" s="15">
        <f>Q75-Q77</f>
        <v>1.8531608370455228</v>
      </c>
      <c r="R83" s="15"/>
      <c r="S83" s="15">
        <f>S75-S77</f>
        <v>2.0311083698218089</v>
      </c>
      <c r="T83" s="15"/>
      <c r="U83" s="15">
        <f>U75-U77</f>
        <v>189.28901911803018</v>
      </c>
      <c r="V83" s="15"/>
      <c r="W83" s="15">
        <f>W75-W77</f>
        <v>0.54326246526342126</v>
      </c>
      <c r="X83" s="15"/>
    </row>
    <row r="84" spans="2:24" s="11" customFormat="1" x14ac:dyDescent="0.3">
      <c r="B84" s="14" t="s">
        <v>60</v>
      </c>
      <c r="C84" s="15">
        <f>C75+C77</f>
        <v>1.6882777595468457</v>
      </c>
      <c r="D84" s="15"/>
      <c r="E84" s="15">
        <f>E75+E77</f>
        <v>268.15148220565675</v>
      </c>
      <c r="F84" s="15"/>
      <c r="G84" s="15"/>
      <c r="H84" s="15"/>
      <c r="I84" s="15">
        <f>I75+I77</f>
        <v>1.3995691888197064</v>
      </c>
      <c r="J84" s="15"/>
      <c r="K84" s="15">
        <f>K75+K77</f>
        <v>1.0178571428571428</v>
      </c>
      <c r="L84" s="15"/>
      <c r="M84" s="15">
        <f>M75+M77</f>
        <v>1.3001105817838212</v>
      </c>
      <c r="N84" s="15"/>
      <c r="O84" s="15">
        <f>O75+O77</f>
        <v>0.89493127620378987</v>
      </c>
      <c r="P84" s="15"/>
      <c r="Q84" s="15">
        <f>Q75+Q77</f>
        <v>2.1200534486687626</v>
      </c>
      <c r="R84" s="15"/>
      <c r="S84" s="15">
        <f>S75+S77</f>
        <v>2.1563916301781911</v>
      </c>
      <c r="T84" s="15"/>
      <c r="U84" s="15">
        <f>U75+U77</f>
        <v>234.29833802482693</v>
      </c>
      <c r="V84" s="15"/>
      <c r="W84" s="15">
        <f>W75+W77</f>
        <v>0.71039129526750888</v>
      </c>
      <c r="X84" s="15"/>
    </row>
    <row r="85" spans="2:24" s="4" customFormat="1" x14ac:dyDescent="0.3">
      <c r="B85" s="14" t="s">
        <v>55</v>
      </c>
      <c r="C85" s="15">
        <f>MIN(C13:C40)</f>
        <v>0.25</v>
      </c>
      <c r="D85" s="15"/>
      <c r="E85" s="15">
        <f>MIN(E13:E40)</f>
        <v>3</v>
      </c>
      <c r="F85" s="15"/>
      <c r="G85" s="15"/>
      <c r="H85" s="15"/>
      <c r="I85" s="15">
        <f>MIN(I13:I40)</f>
        <v>0.25</v>
      </c>
      <c r="J85" s="15"/>
      <c r="K85" s="15">
        <f>MIN(K13:K40)</f>
        <v>1</v>
      </c>
      <c r="L85" s="15"/>
      <c r="M85" s="15">
        <f>MIN(M13:M40)</f>
        <v>0.39500000000000002</v>
      </c>
      <c r="N85" s="15"/>
      <c r="O85" s="15">
        <f>MIN(O13:O40)</f>
        <v>0.32499999999999996</v>
      </c>
      <c r="P85" s="15"/>
      <c r="Q85" s="15">
        <f>MIN(Q13:Q40)</f>
        <v>1.25</v>
      </c>
      <c r="R85" s="15"/>
      <c r="S85" s="15">
        <f>MIN(S13:S40)</f>
        <v>1.25</v>
      </c>
      <c r="T85" s="15"/>
      <c r="U85" s="15">
        <f>MIN(U13:U40)</f>
        <v>21.617999999999999</v>
      </c>
      <c r="V85" s="15"/>
      <c r="W85" s="15">
        <f>MIN(W13:W40)</f>
        <v>3.292271392905155E-2</v>
      </c>
      <c r="X85" s="15"/>
    </row>
    <row r="86" spans="2:24" s="4" customFormat="1" x14ac:dyDescent="0.3">
      <c r="B86" s="14" t="s">
        <v>56</v>
      </c>
      <c r="C86" s="15">
        <f>MAX(C13:C40)</f>
        <v>3.75</v>
      </c>
      <c r="D86" s="15"/>
      <c r="E86" s="15">
        <f>MAX(E13:E40)</f>
        <v>3978</v>
      </c>
      <c r="F86" s="15"/>
      <c r="G86" s="15"/>
      <c r="H86" s="15"/>
      <c r="I86" s="15">
        <f>MAX(I13:I40)</f>
        <v>2.5</v>
      </c>
      <c r="J86" s="15"/>
      <c r="K86" s="15">
        <f>MAX(K13:K40)</f>
        <v>1.5</v>
      </c>
      <c r="L86" s="15"/>
      <c r="M86" s="15">
        <f>MAX(M13:M40)</f>
        <v>2.0233333333333334</v>
      </c>
      <c r="N86" s="15"/>
      <c r="O86" s="15">
        <f>MAX(O13:O40)</f>
        <v>1.1833333333333333</v>
      </c>
      <c r="P86" s="15"/>
      <c r="Q86" s="15">
        <f>MAX(Q13:Q40)</f>
        <v>3.5</v>
      </c>
      <c r="R86" s="15"/>
      <c r="S86" s="15">
        <f>MAX(S13:S40)</f>
        <v>2.75</v>
      </c>
      <c r="T86" s="15"/>
      <c r="U86" s="15">
        <f>MAX(U13:U40)</f>
        <v>1078.6279999999999</v>
      </c>
      <c r="V86" s="15"/>
      <c r="W86" s="15">
        <f>MAX(W13:W40)</f>
        <v>3.6880184827391838</v>
      </c>
      <c r="X86" s="15"/>
    </row>
    <row r="87" spans="2:24" s="4" customFormat="1" x14ac:dyDescent="0.3">
      <c r="B87" s="14" t="s">
        <v>169</v>
      </c>
      <c r="C87" s="15"/>
      <c r="D87" s="15"/>
      <c r="E87" s="15"/>
      <c r="F87" s="15"/>
      <c r="G87" s="15"/>
      <c r="H87" s="15">
        <f>_xlfn.STDEV.S('1. Dataset B'!H13:H40) * SQRT((COUNT('1. Dataset B'!H13:H40)-1) / (COUNT('1. Dataset B'!H13:H40)-2))</f>
        <v>0.5455089852395979</v>
      </c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6"/>
      <c r="X87" s="15"/>
    </row>
    <row r="88" spans="2:24" s="4" customFormat="1" x14ac:dyDescent="0.3">
      <c r="B88" s="12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10"/>
      <c r="X88" s="6"/>
    </row>
    <row r="89" spans="2:24" x14ac:dyDescent="0.3">
      <c r="B89" s="13" t="s">
        <v>81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</row>
    <row r="90" spans="2:24" x14ac:dyDescent="0.3">
      <c r="B90" s="14" t="s">
        <v>71</v>
      </c>
      <c r="C90" s="17"/>
      <c r="D90" s="17">
        <f>COUNT(D2:D11)</f>
        <v>10</v>
      </c>
      <c r="E90" s="17"/>
      <c r="F90" s="17">
        <f>COUNT(F2:F11)</f>
        <v>10</v>
      </c>
      <c r="G90" s="17"/>
      <c r="H90" s="17"/>
      <c r="I90" s="17"/>
      <c r="J90" s="17">
        <f>COUNT(J2:J11)</f>
        <v>10</v>
      </c>
      <c r="K90" s="17"/>
      <c r="L90" s="17">
        <f>COUNT(L2:L11)</f>
        <v>10</v>
      </c>
      <c r="M90" s="17"/>
      <c r="N90" s="17">
        <f>COUNT(N2:N11)</f>
        <v>10</v>
      </c>
      <c r="O90" s="17"/>
      <c r="P90" s="17">
        <f>COUNT(P2:P11)</f>
        <v>10</v>
      </c>
      <c r="Q90" s="17"/>
      <c r="R90" s="17">
        <f>COUNT(R2:R11)</f>
        <v>10</v>
      </c>
      <c r="S90" s="17"/>
      <c r="T90" s="17">
        <f>COUNT(T2:T11)</f>
        <v>10</v>
      </c>
      <c r="U90" s="17"/>
      <c r="V90" s="17">
        <f>COUNT(V2:V11)</f>
        <v>10</v>
      </c>
      <c r="W90" s="17"/>
      <c r="X90" s="17">
        <f>COUNT(X2:X11)</f>
        <v>10</v>
      </c>
    </row>
    <row r="91" spans="2:24" x14ac:dyDescent="0.3">
      <c r="B91" s="14" t="s">
        <v>72</v>
      </c>
      <c r="C91" s="17"/>
      <c r="D91" s="17">
        <f>COUNT(D13:D40)</f>
        <v>28</v>
      </c>
      <c r="E91" s="17"/>
      <c r="F91" s="17">
        <f>COUNT(F13:F40)</f>
        <v>28</v>
      </c>
      <c r="G91" s="17"/>
      <c r="H91" s="17"/>
      <c r="I91" s="17"/>
      <c r="J91" s="17">
        <f>COUNT(J13:J40)</f>
        <v>28</v>
      </c>
      <c r="K91" s="17"/>
      <c r="L91" s="17">
        <f>COUNT(L13:L40)</f>
        <v>28</v>
      </c>
      <c r="M91" s="17"/>
      <c r="N91" s="17">
        <f>COUNT(N13:N40)</f>
        <v>28</v>
      </c>
      <c r="O91" s="17"/>
      <c r="P91" s="17">
        <f>COUNT(P13:P40)</f>
        <v>28</v>
      </c>
      <c r="Q91" s="17"/>
      <c r="R91" s="17">
        <f>COUNT(R13:R40)</f>
        <v>28</v>
      </c>
      <c r="S91" s="17"/>
      <c r="T91" s="17">
        <f>COUNT(T13:T40)</f>
        <v>28</v>
      </c>
      <c r="U91" s="17"/>
      <c r="V91" s="17">
        <f>COUNT(V13:V40)</f>
        <v>28</v>
      </c>
      <c r="W91" s="17"/>
      <c r="X91" s="17">
        <f>COUNT(X13:X40)</f>
        <v>28</v>
      </c>
    </row>
    <row r="92" spans="2:24" x14ac:dyDescent="0.3">
      <c r="B92" s="14" t="s">
        <v>69</v>
      </c>
      <c r="C92" s="17"/>
      <c r="D92" s="18">
        <f>SUM(D2:D11)</f>
        <v>250</v>
      </c>
      <c r="E92" s="17"/>
      <c r="F92" s="18">
        <f>SUM(F2:F11)</f>
        <v>305</v>
      </c>
      <c r="G92" s="18"/>
      <c r="H92" s="18"/>
      <c r="I92" s="17"/>
      <c r="J92" s="18">
        <f>SUM(J2:J11)</f>
        <v>298</v>
      </c>
      <c r="K92" s="17"/>
      <c r="L92" s="18">
        <f>SUM(L2:L11)</f>
        <v>19</v>
      </c>
      <c r="M92" s="17"/>
      <c r="N92" s="18">
        <f>SUM(N2:N11)</f>
        <v>130</v>
      </c>
      <c r="O92" s="17"/>
      <c r="P92" s="18">
        <f>SUM(P2:P11)</f>
        <v>105</v>
      </c>
      <c r="Q92" s="17"/>
      <c r="R92" s="18">
        <f>SUM(R2:R11)</f>
        <v>123</v>
      </c>
      <c r="S92" s="17"/>
      <c r="T92" s="18">
        <f>SUM(T2:T11)</f>
        <v>57</v>
      </c>
      <c r="U92" s="17"/>
      <c r="V92" s="18">
        <f>SUM(V2:V11)</f>
        <v>211</v>
      </c>
      <c r="W92" s="17"/>
      <c r="X92" s="18">
        <f>SUM(X2:X11)</f>
        <v>311</v>
      </c>
    </row>
    <row r="93" spans="2:24" x14ac:dyDescent="0.3">
      <c r="B93" s="14" t="s">
        <v>70</v>
      </c>
      <c r="C93" s="17"/>
      <c r="D93" s="18">
        <f>SUM(D13:D40)</f>
        <v>440</v>
      </c>
      <c r="E93" s="17"/>
      <c r="F93" s="18">
        <f>SUM(F13:F40)</f>
        <v>435</v>
      </c>
      <c r="G93" s="18"/>
      <c r="H93" s="18"/>
      <c r="I93" s="17"/>
      <c r="J93" s="18">
        <f>SUM(J13:J40)</f>
        <v>377</v>
      </c>
      <c r="K93" s="17"/>
      <c r="L93" s="18">
        <f>SUM(L13:L40)</f>
        <v>92</v>
      </c>
      <c r="M93" s="17"/>
      <c r="N93" s="18">
        <f>SUM(N13:N40)</f>
        <v>610</v>
      </c>
      <c r="O93" s="17"/>
      <c r="P93" s="18">
        <f>SUM(P13:P40)</f>
        <v>636</v>
      </c>
      <c r="Q93" s="17"/>
      <c r="R93" s="18">
        <f>SUM(R13:R40)</f>
        <v>514</v>
      </c>
      <c r="S93" s="17"/>
      <c r="T93" s="18">
        <f>SUM(T13:T40)</f>
        <v>561</v>
      </c>
      <c r="U93" s="17"/>
      <c r="V93" s="18">
        <f>SUM(V13:V40)</f>
        <v>530</v>
      </c>
      <c r="W93" s="17"/>
      <c r="X93" s="18">
        <f>SUM(X13:X40)</f>
        <v>430</v>
      </c>
    </row>
    <row r="94" spans="2:24" x14ac:dyDescent="0.3">
      <c r="B94" s="14" t="s">
        <v>73</v>
      </c>
      <c r="C94" s="17"/>
      <c r="D94" s="17">
        <f xml:space="preserve"> D90 * D91 + (D90 * (D90 + 1)) / 2 -D92</f>
        <v>85</v>
      </c>
      <c r="E94" s="17"/>
      <c r="F94" s="17">
        <f xml:space="preserve"> F90 * F91 + (F90 * (F90 + 1)) / 2 -F92</f>
        <v>30</v>
      </c>
      <c r="G94" s="17"/>
      <c r="H94" s="17"/>
      <c r="I94" s="17"/>
      <c r="J94" s="17">
        <f xml:space="preserve"> J90 * J91 + (J90 * (J90 + 1)) / 2 -J92</f>
        <v>37</v>
      </c>
      <c r="K94" s="17"/>
      <c r="L94" s="17">
        <f xml:space="preserve"> L90 * L91 + (L90 * (L90 + 1)) / 2 -L92</f>
        <v>316</v>
      </c>
      <c r="M94" s="17"/>
      <c r="N94" s="17">
        <f xml:space="preserve"> N90 * N91 + (N90 * (N90 + 1)) / 2 -N92</f>
        <v>205</v>
      </c>
      <c r="O94" s="17"/>
      <c r="P94" s="17">
        <f xml:space="preserve"> P90 * P91 + (P90 * (P90 + 1)) / 2 -P92</f>
        <v>230</v>
      </c>
      <c r="Q94" s="17"/>
      <c r="R94" s="17">
        <f xml:space="preserve"> R90 * R91 + (R90 * (R90 + 1)) / 2 -R92</f>
        <v>212</v>
      </c>
      <c r="S94" s="17"/>
      <c r="T94" s="17">
        <f xml:space="preserve"> T90 * T91 + (T90 * (T90 + 1)) / 2 -T92</f>
        <v>278</v>
      </c>
      <c r="U94" s="17"/>
      <c r="V94" s="17">
        <f xml:space="preserve"> V90 * V91 + (V90 * (V90 + 1)) / 2 -V92</f>
        <v>124</v>
      </c>
      <c r="W94" s="17"/>
      <c r="X94" s="17">
        <f xml:space="preserve"> X90 * X91 + (X90 * (X90 + 1)) / 2 -X92</f>
        <v>24</v>
      </c>
    </row>
    <row r="95" spans="2:24" x14ac:dyDescent="0.3">
      <c r="B95" s="14" t="s">
        <v>74</v>
      </c>
      <c r="C95" s="17"/>
      <c r="D95" s="17">
        <f xml:space="preserve"> D91 * D90 + (D91 * (D91 + 1)) / 2 -D93</f>
        <v>246</v>
      </c>
      <c r="E95" s="17"/>
      <c r="F95" s="17">
        <f xml:space="preserve"> F91 * F90 + (F91 * (F91 + 1)) / 2 -F93</f>
        <v>251</v>
      </c>
      <c r="G95" s="17"/>
      <c r="H95" s="17"/>
      <c r="I95" s="17"/>
      <c r="J95" s="17">
        <f xml:space="preserve"> J91 * J90 + (J91 * (J91 + 1)) / 2 -J93</f>
        <v>309</v>
      </c>
      <c r="K95" s="17"/>
      <c r="L95" s="17">
        <f xml:space="preserve"> L91 * L90 + (L91 * (L91 + 1)) / 2 -L93</f>
        <v>594</v>
      </c>
      <c r="M95" s="17"/>
      <c r="N95" s="17">
        <f xml:space="preserve"> N91 * N90 + (N91 * (N91 + 1)) / 2 -N93</f>
        <v>76</v>
      </c>
      <c r="O95" s="17"/>
      <c r="P95" s="17">
        <f xml:space="preserve"> P91 * P90 + (P91 * (P91 + 1)) / 2 -P93</f>
        <v>50</v>
      </c>
      <c r="Q95" s="17"/>
      <c r="R95" s="17">
        <f xml:space="preserve"> R91 * R90 + (R91 * (R91 + 1)) / 2 -R93</f>
        <v>172</v>
      </c>
      <c r="S95" s="17"/>
      <c r="T95" s="17">
        <f xml:space="preserve"> T91 * T90 + (T91 * (T91 + 1)) / 2 -T93</f>
        <v>125</v>
      </c>
      <c r="U95" s="17"/>
      <c r="V95" s="17">
        <f xml:space="preserve"> V91 * V90 + (V91 * (V91 + 1)) / 2 -V93</f>
        <v>156</v>
      </c>
      <c r="W95" s="17"/>
      <c r="X95" s="17">
        <f xml:space="preserve"> X91 * X90 + (X91 * (X91 + 1)) / 2 -X93</f>
        <v>256</v>
      </c>
    </row>
    <row r="96" spans="2:24" x14ac:dyDescent="0.3">
      <c r="B96" s="14" t="s">
        <v>75</v>
      </c>
      <c r="C96" s="19"/>
      <c r="D96" s="19">
        <f xml:space="preserve"> (D94 - (D90*D91)/2) / SQRT(D90*D91*(D90+D91+1)/12)</f>
        <v>-1.8232322463624386</v>
      </c>
      <c r="E96" s="19"/>
      <c r="F96" s="19">
        <f xml:space="preserve"> (F94 - (F90*F91)/2) / SQRT(F90*F91*(F90+F91+1)/12)</f>
        <v>-3.6464644927248773</v>
      </c>
      <c r="G96" s="19"/>
      <c r="H96" s="19"/>
      <c r="I96" s="19"/>
      <c r="J96" s="19">
        <f xml:space="preserve"> (J94 - (J90*J91)/2) / SQRT(J90*J91*(J90+J91+1)/12)</f>
        <v>-3.4144167522787487</v>
      </c>
      <c r="K96" s="19"/>
      <c r="L96" s="19">
        <f xml:space="preserve"> (L94 - (L90*L91)/2) / SQRT(L90*L91*(L90+L91+1)/12)</f>
        <v>5.8343431883598038</v>
      </c>
      <c r="M96" s="19"/>
      <c r="N96" s="19">
        <f xml:space="preserve"> (N95 - (N90*N91)/2) / SQRT(N90*N91*(N90+N91+1)/12)</f>
        <v>-2.121579341221747</v>
      </c>
      <c r="O96" s="19"/>
      <c r="P96" s="19">
        <f xml:space="preserve"> (P95 - (P90*P91)/2) / SQRT(P90*P91*(P90+P91+1)/12)</f>
        <v>-2.9834709485930815</v>
      </c>
      <c r="Q96" s="19"/>
      <c r="R96" s="19">
        <f xml:space="preserve"> (R95 - (R90*R91)/2) / SQRT(R90*R91*(R90+R91+1)/12)</f>
        <v>1.0607896706108735</v>
      </c>
      <c r="S96" s="19"/>
      <c r="T96" s="19">
        <f xml:space="preserve"> (T95 - (T90*T91)/2) / SQRT(T90*T91*(T90+T91+1)/12)</f>
        <v>-0.4972451580988469</v>
      </c>
      <c r="U96" s="19"/>
      <c r="V96" s="19">
        <f xml:space="preserve"> (V94 - (V90*V91)/2) / SQRT(V90*V91*(V90+V91+1)/12)</f>
        <v>-0.53039483530543674</v>
      </c>
      <c r="W96" s="19"/>
      <c r="X96" s="19">
        <f xml:space="preserve"> (X94 - (X90*X91)/2) / SQRT(X90*X91*(X90+X91+1)/12)</f>
        <v>-3.845362555964416</v>
      </c>
    </row>
    <row r="97" spans="2:24" x14ac:dyDescent="0.3">
      <c r="B97" s="14" t="s">
        <v>76</v>
      </c>
      <c r="C97" s="19"/>
      <c r="D97" s="19">
        <f>2*(1-_xlfn.NORM.S.DIST(ABS(D96),TRUE))</f>
        <v>6.8268223082302182E-2</v>
      </c>
      <c r="E97" s="19"/>
      <c r="F97" s="19">
        <f>2*(1-_xlfn.NORM.S.DIST(ABS(F96),TRUE))</f>
        <v>2.6587319662785269E-4</v>
      </c>
      <c r="G97" s="19"/>
      <c r="H97" s="19"/>
      <c r="I97" s="19"/>
      <c r="J97" s="19">
        <f>2*(1-_xlfn.NORM.S.DIST(ABS(J96),TRUE))</f>
        <v>6.3918723246692011E-4</v>
      </c>
      <c r="K97" s="19"/>
      <c r="L97" s="19">
        <f>2*(1-_xlfn.NORM.S.DIST(ABS(L96),TRUE))</f>
        <v>5.4002868843383567E-9</v>
      </c>
      <c r="M97" s="19"/>
      <c r="N97" s="19">
        <f>2*(1-_xlfn.NORM.S.DIST(ABS(N96),TRUE))</f>
        <v>3.387307873258405E-2</v>
      </c>
      <c r="O97" s="19"/>
      <c r="P97" s="19">
        <f>2*(1-_xlfn.NORM.S.DIST(ABS(P96),TRUE))</f>
        <v>2.8499909024986003E-3</v>
      </c>
      <c r="Q97" s="19"/>
      <c r="R97" s="19">
        <f>2*(1-_xlfn.NORM.S.DIST(ABS(R96),TRUE))</f>
        <v>0.28878549751211935</v>
      </c>
      <c r="S97" s="19"/>
      <c r="T97" s="19">
        <f>2*(1-_xlfn.NORM.S.DIST(ABS(T96),TRUE))</f>
        <v>0.61901618017670224</v>
      </c>
      <c r="U97" s="19"/>
      <c r="V97" s="19">
        <f>2*(1-_xlfn.NORM.S.DIST(ABS(V96),TRUE))</f>
        <v>0.59583820612676952</v>
      </c>
      <c r="W97" s="19"/>
      <c r="X97" s="19">
        <f>2*(1-_xlfn.NORM.S.DIST(ABS(X96),TRUE))</f>
        <v>1.2037432282419047E-4</v>
      </c>
    </row>
    <row r="98" spans="2:24" x14ac:dyDescent="0.3"/>
    <row r="99" spans="2:24" hidden="1" x14ac:dyDescent="0.3"/>
    <row r="100" spans="2:24" hidden="1" x14ac:dyDescent="0.3"/>
    <row r="101" spans="2:24" hidden="1" x14ac:dyDescent="0.3"/>
    <row r="102" spans="2:24" hidden="1" x14ac:dyDescent="0.3"/>
    <row r="103" spans="2:24" hidden="1" x14ac:dyDescent="0.3"/>
    <row r="104" spans="2:24" hidden="1" x14ac:dyDescent="0.3"/>
    <row r="105" spans="2:24" hidden="1" x14ac:dyDescent="0.3"/>
    <row r="106" spans="2:24" hidden="1" x14ac:dyDescent="0.3"/>
    <row r="107" spans="2:24" hidden="1" x14ac:dyDescent="0.3"/>
    <row r="108" spans="2:24" hidden="1" x14ac:dyDescent="0.3"/>
    <row r="109" spans="2:24" hidden="1" x14ac:dyDescent="0.3"/>
    <row r="110" spans="2:24" hidden="1" x14ac:dyDescent="0.3"/>
    <row r="111" spans="2:24" hidden="1" x14ac:dyDescent="0.3"/>
    <row r="112" spans="2:24" hidden="1" x14ac:dyDescent="0.3"/>
  </sheetData>
  <autoFilter ref="B1:T40" xr:uid="{55A9A581-2B23-410F-B2D2-5D8FCCE6BC29}">
    <sortState ref="B4:T72">
      <sortCondition ref="B3:B72"/>
    </sortState>
  </autoFilter>
  <pageMargins left="0.7" right="0.7" top="0.78740157499999996" bottom="0.78740157499999996" header="0.3" footer="0.3"/>
  <pageSetup paperSize="9" orientation="portrait" verticalDpi="0" r:id="rId1"/>
  <ignoredErrors>
    <ignoredError sqref="U56 U57:U67 U75:U8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488BB-F4B4-4645-B672-B230642558FD}">
  <dimension ref="A1:L42"/>
  <sheetViews>
    <sheetView zoomScale="85" zoomScaleNormal="85" workbookViewId="0"/>
  </sheetViews>
  <sheetFormatPr baseColWidth="10" defaultColWidth="0" defaultRowHeight="14.4" zeroHeight="1" x14ac:dyDescent="0.3"/>
  <cols>
    <col min="1" max="12" width="11.5546875" customWidth="1"/>
    <col min="13" max="22" width="0" hidden="1" customWidth="1"/>
  </cols>
  <sheetData>
    <row r="1" spans="1:12" ht="15" thickBot="1" x14ac:dyDescent="0.35">
      <c r="A1" s="70"/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2" spans="1:12" s="70" customFormat="1" ht="43.8" thickBot="1" x14ac:dyDescent="0.35">
      <c r="B2" s="91" t="s">
        <v>0</v>
      </c>
      <c r="C2" s="92" t="s">
        <v>142</v>
      </c>
      <c r="D2" s="92" t="s">
        <v>105</v>
      </c>
      <c r="E2" s="92" t="s">
        <v>141</v>
      </c>
      <c r="F2" s="92" t="s">
        <v>140</v>
      </c>
      <c r="G2" s="92" t="s">
        <v>139</v>
      </c>
      <c r="H2" s="92" t="s">
        <v>104</v>
      </c>
      <c r="I2" s="92" t="s">
        <v>143</v>
      </c>
      <c r="J2" s="93" t="s">
        <v>102</v>
      </c>
      <c r="K2" s="94" t="s">
        <v>148</v>
      </c>
      <c r="L2" s="76"/>
    </row>
    <row r="3" spans="1:12" s="70" customFormat="1" x14ac:dyDescent="0.3">
      <c r="B3" s="87" t="s">
        <v>32</v>
      </c>
      <c r="C3" s="88">
        <f>(1+2+2)/3</f>
        <v>1.6666666666666667</v>
      </c>
      <c r="D3" s="89">
        <f>(541+693+617)/3</f>
        <v>617</v>
      </c>
      <c r="E3" s="88">
        <f>(3+3+3)/3</f>
        <v>3</v>
      </c>
      <c r="F3" s="88">
        <f>(1+1+1)/3</f>
        <v>1</v>
      </c>
      <c r="G3" s="90">
        <f>(0.73+0.71+0.73)/3</f>
        <v>0.72333333333333327</v>
      </c>
      <c r="H3" s="90">
        <f>(0.54+0.51+0.53)/3</f>
        <v>0.52666666666666673</v>
      </c>
      <c r="I3" s="88">
        <f>(1+1+1)/3</f>
        <v>1</v>
      </c>
      <c r="J3" s="88">
        <f>(1+3+2)/3</f>
        <v>2</v>
      </c>
      <c r="K3" s="78">
        <f>(38+54+60)/3</f>
        <v>50.666666666666664</v>
      </c>
    </row>
    <row r="4" spans="1:12" s="70" customFormat="1" x14ac:dyDescent="0.3">
      <c r="B4" s="77" t="s">
        <v>29</v>
      </c>
      <c r="C4" s="5">
        <v>2</v>
      </c>
      <c r="D4" s="3">
        <v>154</v>
      </c>
      <c r="E4" s="5">
        <v>2</v>
      </c>
      <c r="F4" s="5">
        <v>1</v>
      </c>
      <c r="G4" s="72">
        <v>0.59</v>
      </c>
      <c r="H4" s="72">
        <v>0.43</v>
      </c>
      <c r="I4" s="5">
        <v>1</v>
      </c>
      <c r="J4" s="5">
        <v>3</v>
      </c>
      <c r="K4" s="69">
        <v>29</v>
      </c>
    </row>
    <row r="5" spans="1:12" s="70" customFormat="1" x14ac:dyDescent="0.3">
      <c r="B5" s="77" t="s">
        <v>30</v>
      </c>
      <c r="C5" s="5">
        <v>2</v>
      </c>
      <c r="D5" s="3">
        <v>375</v>
      </c>
      <c r="E5" s="5">
        <v>2</v>
      </c>
      <c r="F5" s="5">
        <v>1</v>
      </c>
      <c r="G5" s="72">
        <v>1.61</v>
      </c>
      <c r="H5" s="72">
        <v>0.41</v>
      </c>
      <c r="I5" s="5">
        <v>1</v>
      </c>
      <c r="J5" s="5">
        <v>3</v>
      </c>
      <c r="K5" s="69">
        <v>33</v>
      </c>
    </row>
    <row r="6" spans="1:12" s="70" customFormat="1" x14ac:dyDescent="0.3">
      <c r="B6" s="77" t="s">
        <v>31</v>
      </c>
      <c r="C6" s="5">
        <v>2</v>
      </c>
      <c r="D6" s="3">
        <v>150</v>
      </c>
      <c r="E6" s="5">
        <v>2</v>
      </c>
      <c r="F6" s="5">
        <v>1</v>
      </c>
      <c r="G6" s="72">
        <v>1.06</v>
      </c>
      <c r="H6" s="72">
        <v>0.46</v>
      </c>
      <c r="I6" s="5">
        <v>1</v>
      </c>
      <c r="J6" s="5">
        <v>3</v>
      </c>
      <c r="K6" s="69">
        <v>20</v>
      </c>
    </row>
    <row r="7" spans="1:12" s="70" customFormat="1" x14ac:dyDescent="0.3">
      <c r="B7" s="77" t="s">
        <v>33</v>
      </c>
      <c r="C7" s="5">
        <v>2</v>
      </c>
      <c r="D7" s="3">
        <v>483</v>
      </c>
      <c r="E7" s="5">
        <v>2</v>
      </c>
      <c r="F7" s="5">
        <v>1</v>
      </c>
      <c r="G7" s="72">
        <v>1.24</v>
      </c>
      <c r="H7" s="72">
        <v>1.02</v>
      </c>
      <c r="I7" s="5">
        <v>1</v>
      </c>
      <c r="J7" s="5">
        <v>3</v>
      </c>
      <c r="K7" s="69">
        <v>52</v>
      </c>
    </row>
    <row r="8" spans="1:12" s="70" customFormat="1" x14ac:dyDescent="0.3">
      <c r="B8" s="77" t="s">
        <v>34</v>
      </c>
      <c r="C8" s="5">
        <v>1</v>
      </c>
      <c r="D8" s="3">
        <v>519</v>
      </c>
      <c r="E8" s="5">
        <v>2</v>
      </c>
      <c r="F8" s="5">
        <v>1</v>
      </c>
      <c r="G8" s="72">
        <v>0.79</v>
      </c>
      <c r="H8" s="72">
        <v>0.59</v>
      </c>
      <c r="I8" s="5">
        <v>1</v>
      </c>
      <c r="J8" s="5">
        <v>3</v>
      </c>
      <c r="K8" s="69">
        <v>20</v>
      </c>
    </row>
    <row r="9" spans="1:12" s="70" customFormat="1" x14ac:dyDescent="0.3">
      <c r="B9" s="77" t="s">
        <v>35</v>
      </c>
      <c r="C9" s="5">
        <v>2</v>
      </c>
      <c r="D9" s="3">
        <v>456</v>
      </c>
      <c r="E9" s="5">
        <v>3</v>
      </c>
      <c r="F9" s="5">
        <v>1</v>
      </c>
      <c r="G9" s="72">
        <v>0.93</v>
      </c>
      <c r="H9" s="72">
        <v>0.77</v>
      </c>
      <c r="I9" s="5">
        <v>1</v>
      </c>
      <c r="J9" s="5">
        <v>3</v>
      </c>
      <c r="K9" s="69">
        <v>40</v>
      </c>
    </row>
    <row r="10" spans="1:12" s="70" customFormat="1" x14ac:dyDescent="0.3">
      <c r="B10" s="77" t="s">
        <v>36</v>
      </c>
      <c r="C10" s="5">
        <v>4</v>
      </c>
      <c r="D10" s="3">
        <v>632</v>
      </c>
      <c r="E10" s="5">
        <v>2</v>
      </c>
      <c r="F10" s="5">
        <v>1</v>
      </c>
      <c r="G10" s="72">
        <v>1.27</v>
      </c>
      <c r="H10" s="72">
        <v>0.64</v>
      </c>
      <c r="I10" s="5">
        <v>3</v>
      </c>
      <c r="J10" s="5">
        <v>3</v>
      </c>
      <c r="K10" s="69">
        <v>52</v>
      </c>
    </row>
    <row r="11" spans="1:12" s="70" customFormat="1" x14ac:dyDescent="0.3">
      <c r="B11" s="77" t="s">
        <v>37</v>
      </c>
      <c r="C11" s="5">
        <v>2</v>
      </c>
      <c r="D11" s="73">
        <v>517</v>
      </c>
      <c r="E11" s="74">
        <v>3</v>
      </c>
      <c r="F11" s="74">
        <v>1</v>
      </c>
      <c r="G11" s="75">
        <v>0.8</v>
      </c>
      <c r="H11" s="75">
        <v>0.51</v>
      </c>
      <c r="I11" s="5">
        <v>1</v>
      </c>
      <c r="J11" s="5">
        <v>3</v>
      </c>
      <c r="K11" s="79">
        <v>44</v>
      </c>
    </row>
    <row r="12" spans="1:12" s="70" customFormat="1" x14ac:dyDescent="0.3">
      <c r="B12" s="77" t="s">
        <v>38</v>
      </c>
      <c r="C12" s="5">
        <v>2</v>
      </c>
      <c r="D12" s="3">
        <v>226</v>
      </c>
      <c r="E12" s="5">
        <v>2</v>
      </c>
      <c r="F12" s="5">
        <v>1</v>
      </c>
      <c r="G12" s="72">
        <v>0.83</v>
      </c>
      <c r="H12" s="72">
        <v>0.42</v>
      </c>
      <c r="I12" s="5">
        <v>1</v>
      </c>
      <c r="J12" s="5">
        <v>3</v>
      </c>
      <c r="K12" s="69">
        <v>30</v>
      </c>
    </row>
    <row r="13" spans="1:12" s="70" customFormat="1" x14ac:dyDescent="0.3">
      <c r="B13" s="77" t="s">
        <v>39</v>
      </c>
      <c r="C13" s="5">
        <v>4</v>
      </c>
      <c r="D13" s="3">
        <v>283</v>
      </c>
      <c r="E13" s="5">
        <v>3</v>
      </c>
      <c r="F13" s="5">
        <v>2</v>
      </c>
      <c r="G13" s="72">
        <v>2.83</v>
      </c>
      <c r="H13" s="72">
        <v>1.1399999999999999</v>
      </c>
      <c r="I13" s="5">
        <v>5</v>
      </c>
      <c r="J13" s="5">
        <v>2</v>
      </c>
      <c r="K13" s="69">
        <v>71</v>
      </c>
    </row>
    <row r="14" spans="1:12" s="70" customFormat="1" x14ac:dyDescent="0.3">
      <c r="B14" s="77" t="s">
        <v>5</v>
      </c>
      <c r="C14" s="5">
        <f>(0+0)/2</f>
        <v>0</v>
      </c>
      <c r="D14" s="3">
        <f>(39+40)/2</f>
        <v>39.5</v>
      </c>
      <c r="E14" s="5">
        <f>(0+0)/2</f>
        <v>0</v>
      </c>
      <c r="F14" s="5">
        <f>(1+1)/2</f>
        <v>1</v>
      </c>
      <c r="G14" s="72">
        <f>(1.22+1.19)/2</f>
        <v>1.2050000000000001</v>
      </c>
      <c r="H14" s="72">
        <f>(1.12+1.1)/2</f>
        <v>1.1100000000000001</v>
      </c>
      <c r="I14" s="5">
        <f>(1+1)/2</f>
        <v>1</v>
      </c>
      <c r="J14" s="5">
        <f>(1+1)/2</f>
        <v>1</v>
      </c>
      <c r="K14" s="69">
        <f>(39+40)/2</f>
        <v>39.5</v>
      </c>
    </row>
    <row r="15" spans="1:12" s="70" customFormat="1" x14ac:dyDescent="0.3">
      <c r="B15" s="77" t="s">
        <v>27</v>
      </c>
      <c r="C15" s="5">
        <v>1</v>
      </c>
      <c r="D15" s="3">
        <v>98</v>
      </c>
      <c r="E15" s="5">
        <v>2</v>
      </c>
      <c r="F15" s="5">
        <v>1</v>
      </c>
      <c r="G15" s="72">
        <v>0.4</v>
      </c>
      <c r="H15" s="72">
        <v>0.36</v>
      </c>
      <c r="I15" s="5">
        <v>1</v>
      </c>
      <c r="J15" s="5">
        <v>3</v>
      </c>
      <c r="K15" s="69">
        <v>11</v>
      </c>
    </row>
    <row r="16" spans="1:12" s="70" customFormat="1" x14ac:dyDescent="0.3">
      <c r="B16" s="77" t="s">
        <v>7</v>
      </c>
      <c r="C16" s="5">
        <v>2</v>
      </c>
      <c r="D16" s="73">
        <v>363</v>
      </c>
      <c r="E16" s="5">
        <v>2</v>
      </c>
      <c r="F16" s="5">
        <v>1</v>
      </c>
      <c r="G16" s="72">
        <f>(1.5+1.44)/2</f>
        <v>1.47</v>
      </c>
      <c r="H16" s="72">
        <f>(0.34+0.35)/2</f>
        <v>0.34499999999999997</v>
      </c>
      <c r="I16" s="5">
        <v>1</v>
      </c>
      <c r="J16" s="5">
        <v>3</v>
      </c>
      <c r="K16" s="79">
        <f>(21+21)/2</f>
        <v>21</v>
      </c>
    </row>
    <row r="17" spans="2:11" s="70" customFormat="1" x14ac:dyDescent="0.3">
      <c r="B17" s="77" t="s">
        <v>10</v>
      </c>
      <c r="C17" s="5">
        <v>4</v>
      </c>
      <c r="D17" s="3">
        <v>277</v>
      </c>
      <c r="E17" s="5">
        <v>2</v>
      </c>
      <c r="F17" s="5">
        <v>1</v>
      </c>
      <c r="G17" s="72">
        <v>1.24</v>
      </c>
      <c r="H17" s="72">
        <v>1.1599999999999999</v>
      </c>
      <c r="I17" s="5">
        <v>1</v>
      </c>
      <c r="J17" s="5">
        <v>3</v>
      </c>
      <c r="K17" s="69">
        <v>13</v>
      </c>
    </row>
    <row r="18" spans="2:11" s="70" customFormat="1" x14ac:dyDescent="0.3">
      <c r="B18" s="77" t="s">
        <v>1</v>
      </c>
      <c r="C18" s="5">
        <f>(2+2)/2</f>
        <v>2</v>
      </c>
      <c r="D18" s="3">
        <f>(498+501)/2</f>
        <v>499.5</v>
      </c>
      <c r="E18" s="5">
        <f>(2+3)/3</f>
        <v>1.6666666666666667</v>
      </c>
      <c r="F18" s="5">
        <f>(1+1)/2</f>
        <v>1</v>
      </c>
      <c r="G18" s="72">
        <f>(1.02+1.27)/2</f>
        <v>1.145</v>
      </c>
      <c r="H18" s="72">
        <f>(0.4+0.39)/2</f>
        <v>0.39500000000000002</v>
      </c>
      <c r="I18" s="5">
        <f>(3+2)/2</f>
        <v>2.5</v>
      </c>
      <c r="J18" s="5">
        <f>(3+3)/2</f>
        <v>3</v>
      </c>
      <c r="K18" s="69">
        <f>(22+21)/2</f>
        <v>21.5</v>
      </c>
    </row>
    <row r="19" spans="2:11" s="70" customFormat="1" x14ac:dyDescent="0.3">
      <c r="B19" s="77" t="s">
        <v>9</v>
      </c>
      <c r="C19" s="5">
        <v>4</v>
      </c>
      <c r="D19" s="3">
        <v>208</v>
      </c>
      <c r="E19" s="5">
        <v>2</v>
      </c>
      <c r="F19" s="5">
        <v>1</v>
      </c>
      <c r="G19" s="72">
        <v>0.93</v>
      </c>
      <c r="H19" s="72">
        <v>0.69</v>
      </c>
      <c r="I19" s="5">
        <v>2</v>
      </c>
      <c r="J19" s="5">
        <v>3</v>
      </c>
      <c r="K19" s="69">
        <v>13</v>
      </c>
    </row>
    <row r="20" spans="2:11" s="70" customFormat="1" x14ac:dyDescent="0.3">
      <c r="B20" s="77" t="s">
        <v>26</v>
      </c>
      <c r="C20" s="5">
        <v>0</v>
      </c>
      <c r="D20" s="3">
        <v>6</v>
      </c>
      <c r="E20" s="5">
        <v>1</v>
      </c>
      <c r="F20" s="5">
        <v>1</v>
      </c>
      <c r="G20" s="72">
        <v>1.1599999999999999</v>
      </c>
      <c r="H20" s="72">
        <v>1.1599999999999999</v>
      </c>
      <c r="I20" s="5">
        <v>1</v>
      </c>
      <c r="J20" s="5">
        <v>2</v>
      </c>
      <c r="K20" s="69">
        <v>1</v>
      </c>
    </row>
    <row r="21" spans="2:11" s="70" customFormat="1" x14ac:dyDescent="0.3">
      <c r="B21" s="77" t="s">
        <v>25</v>
      </c>
      <c r="C21" s="5">
        <f>(0+0)/2</f>
        <v>0</v>
      </c>
      <c r="D21" s="3">
        <f>(10+13)/2</f>
        <v>11.5</v>
      </c>
      <c r="E21" s="5">
        <f>(1+0)/2</f>
        <v>0.5</v>
      </c>
      <c r="F21" s="5">
        <f>(1+1)/2</f>
        <v>1</v>
      </c>
      <c r="G21" s="72">
        <f>(1.38+1.31)/2</f>
        <v>1.345</v>
      </c>
      <c r="H21" s="72">
        <f>(1.16+1.02)/2</f>
        <v>1.0899999999999999</v>
      </c>
      <c r="I21" s="5">
        <f>(4+4)/2</f>
        <v>4</v>
      </c>
      <c r="J21" s="5">
        <f>(2+2)/2</f>
        <v>2</v>
      </c>
      <c r="K21" s="69">
        <f>(10+13)/2</f>
        <v>11.5</v>
      </c>
    </row>
    <row r="22" spans="2:11" s="70" customFormat="1" x14ac:dyDescent="0.3">
      <c r="B22" s="77" t="s">
        <v>24</v>
      </c>
      <c r="C22" s="5">
        <v>0</v>
      </c>
      <c r="D22" s="3">
        <v>3</v>
      </c>
      <c r="E22" s="5">
        <v>0</v>
      </c>
      <c r="F22" s="5">
        <v>1</v>
      </c>
      <c r="G22" s="72">
        <v>1.24</v>
      </c>
      <c r="H22" s="72">
        <v>1.08</v>
      </c>
      <c r="I22" s="5">
        <v>4</v>
      </c>
      <c r="J22" s="5">
        <v>2</v>
      </c>
      <c r="K22" s="69">
        <v>3</v>
      </c>
    </row>
    <row r="23" spans="2:11" s="70" customFormat="1" x14ac:dyDescent="0.3">
      <c r="B23" s="77" t="s">
        <v>23</v>
      </c>
      <c r="C23" s="5">
        <v>0</v>
      </c>
      <c r="D23" s="3">
        <v>6</v>
      </c>
      <c r="E23" s="5">
        <v>0</v>
      </c>
      <c r="F23" s="5">
        <v>1</v>
      </c>
      <c r="G23" s="72">
        <v>1.35</v>
      </c>
      <c r="H23" s="72">
        <v>1.27</v>
      </c>
      <c r="I23" s="5">
        <v>5</v>
      </c>
      <c r="J23" s="5">
        <v>2</v>
      </c>
      <c r="K23" s="69">
        <v>5</v>
      </c>
    </row>
    <row r="24" spans="2:11" s="70" customFormat="1" x14ac:dyDescent="0.3">
      <c r="B24" s="77" t="s">
        <v>22</v>
      </c>
      <c r="C24" s="5">
        <v>4</v>
      </c>
      <c r="D24" s="3">
        <v>310</v>
      </c>
      <c r="E24" s="5">
        <v>1</v>
      </c>
      <c r="F24" s="5">
        <v>1</v>
      </c>
      <c r="G24" s="75">
        <v>1.3</v>
      </c>
      <c r="H24" s="75">
        <v>0.65</v>
      </c>
      <c r="I24" s="5">
        <v>4</v>
      </c>
      <c r="J24" s="5">
        <v>3</v>
      </c>
      <c r="K24" s="69">
        <v>26</v>
      </c>
    </row>
    <row r="25" spans="2:11" s="70" customFormat="1" x14ac:dyDescent="0.3">
      <c r="B25" s="77" t="s">
        <v>21</v>
      </c>
      <c r="C25" s="5">
        <v>4</v>
      </c>
      <c r="D25" s="3">
        <v>21</v>
      </c>
      <c r="E25" s="5">
        <v>0</v>
      </c>
      <c r="F25" s="5">
        <v>1</v>
      </c>
      <c r="G25" s="72">
        <v>1.37</v>
      </c>
      <c r="H25" s="72">
        <v>0.55000000000000004</v>
      </c>
      <c r="I25" s="5">
        <v>3</v>
      </c>
      <c r="J25" s="5">
        <v>3</v>
      </c>
      <c r="K25" s="69">
        <v>10</v>
      </c>
    </row>
    <row r="26" spans="2:11" s="70" customFormat="1" x14ac:dyDescent="0.3">
      <c r="B26" s="77" t="s">
        <v>20</v>
      </c>
      <c r="C26" s="5">
        <v>3</v>
      </c>
      <c r="D26" s="3">
        <v>13</v>
      </c>
      <c r="E26" s="5">
        <v>0</v>
      </c>
      <c r="F26" s="5">
        <v>1</v>
      </c>
      <c r="G26" s="72">
        <v>1.26</v>
      </c>
      <c r="H26" s="72">
        <v>0.65</v>
      </c>
      <c r="I26" s="5">
        <v>3</v>
      </c>
      <c r="J26" s="5">
        <v>3</v>
      </c>
      <c r="K26" s="69">
        <v>4</v>
      </c>
    </row>
    <row r="27" spans="2:11" s="70" customFormat="1" x14ac:dyDescent="0.3">
      <c r="B27" s="77" t="s">
        <v>19</v>
      </c>
      <c r="C27" s="5">
        <v>0</v>
      </c>
      <c r="D27" s="3">
        <v>6</v>
      </c>
      <c r="E27" s="5">
        <v>0</v>
      </c>
      <c r="F27" s="5">
        <v>1</v>
      </c>
      <c r="G27" s="72">
        <v>1.2</v>
      </c>
      <c r="H27" s="72">
        <v>1.1399999999999999</v>
      </c>
      <c r="I27" s="5">
        <v>1</v>
      </c>
      <c r="J27" s="5">
        <v>1</v>
      </c>
      <c r="K27" s="69">
        <v>6</v>
      </c>
    </row>
    <row r="28" spans="2:11" s="80" customFormat="1" x14ac:dyDescent="0.3">
      <c r="B28" s="81" t="s">
        <v>18</v>
      </c>
      <c r="C28" s="74">
        <v>0</v>
      </c>
      <c r="D28" s="73">
        <v>52</v>
      </c>
      <c r="E28" s="74">
        <v>1</v>
      </c>
      <c r="F28" s="74">
        <v>1</v>
      </c>
      <c r="G28" s="75">
        <v>1.2</v>
      </c>
      <c r="H28" s="75">
        <v>1.1299999999999999</v>
      </c>
      <c r="I28" s="74">
        <v>1</v>
      </c>
      <c r="J28" s="74">
        <v>3</v>
      </c>
      <c r="K28" s="79">
        <v>41</v>
      </c>
    </row>
    <row r="29" spans="2:11" s="70" customFormat="1" x14ac:dyDescent="0.3">
      <c r="B29" s="77" t="s">
        <v>17</v>
      </c>
      <c r="C29" s="5">
        <v>0</v>
      </c>
      <c r="D29" s="73">
        <v>54</v>
      </c>
      <c r="E29" s="74">
        <v>2</v>
      </c>
      <c r="F29" s="74">
        <v>1</v>
      </c>
      <c r="G29" s="72">
        <v>1.19</v>
      </c>
      <c r="H29" s="72">
        <v>1.1299999999999999</v>
      </c>
      <c r="I29" s="5">
        <v>1</v>
      </c>
      <c r="J29" s="5">
        <v>3</v>
      </c>
      <c r="K29" s="79">
        <v>48</v>
      </c>
    </row>
    <row r="30" spans="2:11" s="70" customFormat="1" x14ac:dyDescent="0.3">
      <c r="B30" s="77" t="s">
        <v>16</v>
      </c>
      <c r="C30" s="5">
        <v>1</v>
      </c>
      <c r="D30" s="3">
        <v>33</v>
      </c>
      <c r="E30" s="5">
        <v>1</v>
      </c>
      <c r="F30" s="5">
        <v>1</v>
      </c>
      <c r="G30" s="72">
        <v>1.1599999999999999</v>
      </c>
      <c r="H30" s="72">
        <v>1.1299999999999999</v>
      </c>
      <c r="I30" s="5">
        <v>3</v>
      </c>
      <c r="J30" s="5">
        <v>3</v>
      </c>
      <c r="K30" s="69">
        <v>11</v>
      </c>
    </row>
    <row r="31" spans="2:11" s="70" customFormat="1" x14ac:dyDescent="0.3">
      <c r="B31" s="77" t="s">
        <v>15</v>
      </c>
      <c r="C31" s="5">
        <v>0</v>
      </c>
      <c r="D31" s="3">
        <v>51</v>
      </c>
      <c r="E31" s="5">
        <v>1</v>
      </c>
      <c r="F31" s="5">
        <v>1</v>
      </c>
      <c r="G31" s="72">
        <v>1.22</v>
      </c>
      <c r="H31" s="72">
        <v>1.1200000000000001</v>
      </c>
      <c r="I31" s="5">
        <v>3</v>
      </c>
      <c r="J31" s="5">
        <v>3</v>
      </c>
      <c r="K31" s="69">
        <v>16</v>
      </c>
    </row>
    <row r="32" spans="2:11" s="70" customFormat="1" x14ac:dyDescent="0.3">
      <c r="B32" s="77" t="s">
        <v>3</v>
      </c>
      <c r="C32" s="5">
        <v>0</v>
      </c>
      <c r="D32" s="3">
        <v>37</v>
      </c>
      <c r="E32" s="5">
        <v>1</v>
      </c>
      <c r="F32" s="5">
        <v>1</v>
      </c>
      <c r="G32" s="72">
        <v>1.22</v>
      </c>
      <c r="H32" s="72">
        <v>1.1499999999999999</v>
      </c>
      <c r="I32" s="5">
        <v>2</v>
      </c>
      <c r="J32" s="5">
        <v>2</v>
      </c>
      <c r="K32" s="69">
        <v>20</v>
      </c>
    </row>
    <row r="33" spans="2:11" s="70" customFormat="1" x14ac:dyDescent="0.3">
      <c r="B33" s="77" t="s">
        <v>2</v>
      </c>
      <c r="C33" s="5">
        <v>1</v>
      </c>
      <c r="D33" s="3">
        <v>26</v>
      </c>
      <c r="E33" s="5">
        <v>1</v>
      </c>
      <c r="F33" s="5">
        <v>1</v>
      </c>
      <c r="G33" s="72">
        <v>2.0299999999999998</v>
      </c>
      <c r="H33" s="72">
        <v>1.1499999999999999</v>
      </c>
      <c r="I33" s="5">
        <v>2</v>
      </c>
      <c r="J33" s="5">
        <v>3</v>
      </c>
      <c r="K33" s="69">
        <v>18</v>
      </c>
    </row>
    <row r="34" spans="2:11" s="70" customFormat="1" x14ac:dyDescent="0.3">
      <c r="B34" s="77" t="s">
        <v>14</v>
      </c>
      <c r="C34" s="5">
        <v>2</v>
      </c>
      <c r="D34" s="3">
        <v>240</v>
      </c>
      <c r="E34" s="5">
        <v>2</v>
      </c>
      <c r="F34" s="5">
        <v>1</v>
      </c>
      <c r="G34" s="72">
        <v>1.1499999999999999</v>
      </c>
      <c r="H34" s="72">
        <v>0.49</v>
      </c>
      <c r="I34" s="5">
        <v>1</v>
      </c>
      <c r="J34" s="5">
        <v>3</v>
      </c>
      <c r="K34" s="69">
        <v>25</v>
      </c>
    </row>
    <row r="35" spans="2:11" s="70" customFormat="1" x14ac:dyDescent="0.3">
      <c r="B35" s="77" t="s">
        <v>13</v>
      </c>
      <c r="C35" s="5">
        <v>2</v>
      </c>
      <c r="D35" s="3">
        <v>3978</v>
      </c>
      <c r="E35" s="5">
        <v>3</v>
      </c>
      <c r="F35" s="5">
        <v>1</v>
      </c>
      <c r="G35" s="72">
        <v>2.0099999999999998</v>
      </c>
      <c r="H35" s="72">
        <v>0.43</v>
      </c>
      <c r="I35" s="5">
        <v>1</v>
      </c>
      <c r="J35" s="5">
        <v>3</v>
      </c>
      <c r="K35" s="69">
        <v>32</v>
      </c>
    </row>
    <row r="36" spans="2:11" s="70" customFormat="1" x14ac:dyDescent="0.3">
      <c r="B36" s="77" t="s">
        <v>12</v>
      </c>
      <c r="C36" s="5">
        <v>3</v>
      </c>
      <c r="D36" s="3">
        <v>76</v>
      </c>
      <c r="E36" s="5">
        <v>1</v>
      </c>
      <c r="F36" s="5">
        <v>1</v>
      </c>
      <c r="G36" s="72">
        <v>1.41</v>
      </c>
      <c r="H36" s="72">
        <v>0.99</v>
      </c>
      <c r="I36" s="5">
        <v>2</v>
      </c>
      <c r="J36" s="5">
        <v>3</v>
      </c>
      <c r="K36" s="69">
        <v>6</v>
      </c>
    </row>
    <row r="37" spans="2:11" s="70" customFormat="1" x14ac:dyDescent="0.3">
      <c r="B37" s="77" t="s">
        <v>11</v>
      </c>
      <c r="C37" s="5">
        <v>4</v>
      </c>
      <c r="D37" s="3">
        <v>410</v>
      </c>
      <c r="E37" s="5">
        <v>3</v>
      </c>
      <c r="F37" s="5">
        <v>1</v>
      </c>
      <c r="G37" s="72">
        <v>0.93</v>
      </c>
      <c r="H37" s="72">
        <v>0.5</v>
      </c>
      <c r="I37" s="5">
        <v>3</v>
      </c>
      <c r="J37" s="5">
        <v>3</v>
      </c>
      <c r="K37" s="69">
        <v>31</v>
      </c>
    </row>
    <row r="38" spans="2:11" s="70" customFormat="1" x14ac:dyDescent="0.3">
      <c r="B38" s="77" t="s">
        <v>8</v>
      </c>
      <c r="C38" s="5">
        <v>0</v>
      </c>
      <c r="D38" s="3">
        <v>24</v>
      </c>
      <c r="E38" s="5">
        <v>0</v>
      </c>
      <c r="F38" s="5">
        <v>1</v>
      </c>
      <c r="G38" s="72">
        <v>1.1599999999999999</v>
      </c>
      <c r="H38" s="72">
        <v>1.1399999999999999</v>
      </c>
      <c r="I38" s="5">
        <v>1</v>
      </c>
      <c r="J38" s="5">
        <v>3</v>
      </c>
      <c r="K38" s="69">
        <v>12</v>
      </c>
    </row>
    <row r="39" spans="2:11" s="70" customFormat="1" x14ac:dyDescent="0.3">
      <c r="B39" s="77" t="s">
        <v>6</v>
      </c>
      <c r="C39" s="5">
        <v>1</v>
      </c>
      <c r="D39" s="3">
        <v>45</v>
      </c>
      <c r="E39" s="5">
        <v>1</v>
      </c>
      <c r="F39" s="5">
        <v>1</v>
      </c>
      <c r="G39" s="72">
        <v>1.1000000000000001</v>
      </c>
      <c r="H39" s="72">
        <v>0.38</v>
      </c>
      <c r="I39" s="5">
        <v>1</v>
      </c>
      <c r="J39" s="5">
        <v>3</v>
      </c>
      <c r="K39" s="69">
        <v>13</v>
      </c>
    </row>
    <row r="40" spans="2:11" s="70" customFormat="1" x14ac:dyDescent="0.3">
      <c r="B40" s="77" t="s">
        <v>4</v>
      </c>
      <c r="C40" s="5">
        <v>1</v>
      </c>
      <c r="D40" s="3">
        <v>5</v>
      </c>
      <c r="E40" s="5">
        <v>0</v>
      </c>
      <c r="F40" s="5">
        <v>1</v>
      </c>
      <c r="G40" s="72">
        <v>1.1599999999999999</v>
      </c>
      <c r="H40" s="72">
        <v>0.96</v>
      </c>
      <c r="I40" s="5">
        <v>3</v>
      </c>
      <c r="J40" s="5">
        <v>2</v>
      </c>
      <c r="K40" s="69">
        <v>2</v>
      </c>
    </row>
    <row r="41" spans="2:11" s="70" customFormat="1" ht="15" thickBot="1" x14ac:dyDescent="0.35">
      <c r="B41" s="82" t="s">
        <v>28</v>
      </c>
      <c r="C41" s="83">
        <v>1</v>
      </c>
      <c r="D41" s="84">
        <v>70</v>
      </c>
      <c r="E41" s="83">
        <v>1</v>
      </c>
      <c r="F41" s="83">
        <v>1</v>
      </c>
      <c r="G41" s="85">
        <v>1.24</v>
      </c>
      <c r="H41" s="85">
        <v>0.96</v>
      </c>
      <c r="I41" s="83">
        <v>1</v>
      </c>
      <c r="J41" s="83">
        <v>3</v>
      </c>
      <c r="K41" s="86">
        <v>25</v>
      </c>
    </row>
    <row r="42" spans="2:11" s="70" customFormat="1" x14ac:dyDescent="0.3"/>
  </sheetData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37B48-DE81-43EB-A78C-5B62ABB1AD8A}">
  <dimension ref="A1:L42"/>
  <sheetViews>
    <sheetView zoomScale="85" zoomScaleNormal="85" workbookViewId="0"/>
  </sheetViews>
  <sheetFormatPr baseColWidth="10" defaultColWidth="0" defaultRowHeight="14.4" zeroHeight="1" x14ac:dyDescent="0.3"/>
  <cols>
    <col min="1" max="12" width="11.5546875" customWidth="1"/>
    <col min="13" max="16384" width="11.5546875" hidden="1"/>
  </cols>
  <sheetData>
    <row r="1" spans="1:12" s="70" customFormat="1" ht="15" thickBot="1" x14ac:dyDescent="0.35"/>
    <row r="2" spans="1:12" ht="43.8" thickBot="1" x14ac:dyDescent="0.35">
      <c r="A2" s="70"/>
      <c r="B2" s="91" t="s">
        <v>0</v>
      </c>
      <c r="C2" s="92" t="s">
        <v>142</v>
      </c>
      <c r="D2" s="92" t="s">
        <v>105</v>
      </c>
      <c r="E2" s="92" t="s">
        <v>141</v>
      </c>
      <c r="F2" s="92" t="s">
        <v>140</v>
      </c>
      <c r="G2" s="92" t="s">
        <v>139</v>
      </c>
      <c r="H2" s="92" t="s">
        <v>104</v>
      </c>
      <c r="I2" s="92" t="s">
        <v>143</v>
      </c>
      <c r="J2" s="93" t="s">
        <v>102</v>
      </c>
      <c r="K2" s="94" t="s">
        <v>148</v>
      </c>
      <c r="L2" s="70"/>
    </row>
    <row r="3" spans="1:12" x14ac:dyDescent="0.3">
      <c r="A3" s="70"/>
      <c r="B3" s="87" t="s">
        <v>32</v>
      </c>
      <c r="C3" s="88">
        <f>(2+1+2)/3</f>
        <v>1.6666666666666667</v>
      </c>
      <c r="D3" s="89">
        <f>(697+576+719)/3</f>
        <v>664</v>
      </c>
      <c r="E3" s="88">
        <f>(2+2+2)/3</f>
        <v>2</v>
      </c>
      <c r="F3" s="88">
        <f>+(1+1+1)/3</f>
        <v>1</v>
      </c>
      <c r="G3" s="90"/>
      <c r="H3" s="90"/>
      <c r="I3" s="88">
        <f>(1+1+1)/3</f>
        <v>1</v>
      </c>
      <c r="J3" s="88">
        <f>(2+2+2)/3</f>
        <v>2</v>
      </c>
      <c r="K3" s="78">
        <v>0</v>
      </c>
      <c r="L3" s="70"/>
    </row>
    <row r="4" spans="1:12" x14ac:dyDescent="0.3">
      <c r="A4" s="70"/>
      <c r="B4" s="77" t="s">
        <v>29</v>
      </c>
      <c r="C4" s="5">
        <v>1</v>
      </c>
      <c r="D4" s="3">
        <v>150</v>
      </c>
      <c r="E4" s="5">
        <v>2</v>
      </c>
      <c r="F4" s="5">
        <v>1</v>
      </c>
      <c r="G4" s="72"/>
      <c r="H4" s="72"/>
      <c r="I4" s="5">
        <v>1</v>
      </c>
      <c r="J4" s="5">
        <v>2</v>
      </c>
      <c r="K4" s="69">
        <v>0</v>
      </c>
      <c r="L4" s="70"/>
    </row>
    <row r="5" spans="1:12" x14ac:dyDescent="0.3">
      <c r="A5" s="70"/>
      <c r="B5" s="77" t="s">
        <v>30</v>
      </c>
      <c r="C5" s="5">
        <v>1</v>
      </c>
      <c r="D5" s="3">
        <v>336</v>
      </c>
      <c r="E5" s="5">
        <v>2</v>
      </c>
      <c r="F5" s="5">
        <v>1</v>
      </c>
      <c r="G5" s="72">
        <v>1.63</v>
      </c>
      <c r="H5" s="72"/>
      <c r="I5" s="5">
        <v>1</v>
      </c>
      <c r="J5" s="5">
        <v>2</v>
      </c>
      <c r="K5" s="69">
        <v>1</v>
      </c>
      <c r="L5" s="70"/>
    </row>
    <row r="6" spans="1:12" x14ac:dyDescent="0.3">
      <c r="A6" s="70"/>
      <c r="B6" s="77" t="s">
        <v>31</v>
      </c>
      <c r="C6" s="5">
        <v>1</v>
      </c>
      <c r="D6" s="73">
        <v>132</v>
      </c>
      <c r="E6" s="5">
        <v>2</v>
      </c>
      <c r="F6" s="5">
        <v>1</v>
      </c>
      <c r="G6" s="72"/>
      <c r="H6" s="72"/>
      <c r="I6" s="5">
        <v>1</v>
      </c>
      <c r="J6" s="5">
        <v>2</v>
      </c>
      <c r="K6" s="79">
        <v>0</v>
      </c>
      <c r="L6" s="70"/>
    </row>
    <row r="7" spans="1:12" x14ac:dyDescent="0.3">
      <c r="A7" s="70"/>
      <c r="B7" s="77" t="s">
        <v>33</v>
      </c>
      <c r="C7" s="5">
        <v>3</v>
      </c>
      <c r="D7" s="73">
        <v>353</v>
      </c>
      <c r="E7" s="5">
        <v>3</v>
      </c>
      <c r="F7" s="5">
        <v>1</v>
      </c>
      <c r="G7" s="72">
        <v>1.42</v>
      </c>
      <c r="H7" s="72">
        <v>1.02</v>
      </c>
      <c r="I7" s="5">
        <v>2</v>
      </c>
      <c r="J7" s="5">
        <v>2</v>
      </c>
      <c r="K7" s="79">
        <v>38</v>
      </c>
      <c r="L7" s="70"/>
    </row>
    <row r="8" spans="1:12" x14ac:dyDescent="0.3">
      <c r="A8" s="70"/>
      <c r="B8" s="77" t="s">
        <v>34</v>
      </c>
      <c r="C8" s="5">
        <v>1</v>
      </c>
      <c r="D8" s="73">
        <v>430</v>
      </c>
      <c r="E8" s="5">
        <v>2</v>
      </c>
      <c r="F8" s="5">
        <v>1</v>
      </c>
      <c r="G8" s="72"/>
      <c r="H8" s="72"/>
      <c r="I8" s="5">
        <v>1</v>
      </c>
      <c r="J8" s="5">
        <v>2</v>
      </c>
      <c r="K8" s="79">
        <v>0</v>
      </c>
      <c r="L8" s="70"/>
    </row>
    <row r="9" spans="1:12" x14ac:dyDescent="0.3">
      <c r="A9" s="70"/>
      <c r="B9" s="77" t="s">
        <v>35</v>
      </c>
      <c r="C9" s="5">
        <v>1</v>
      </c>
      <c r="D9" s="3">
        <v>377</v>
      </c>
      <c r="E9" s="5">
        <v>2</v>
      </c>
      <c r="F9" s="5">
        <v>1</v>
      </c>
      <c r="G9" s="72"/>
      <c r="H9" s="72"/>
      <c r="I9" s="5">
        <v>1</v>
      </c>
      <c r="J9" s="5">
        <v>2</v>
      </c>
      <c r="K9" s="69">
        <v>0</v>
      </c>
      <c r="L9" s="70"/>
    </row>
    <row r="10" spans="1:12" x14ac:dyDescent="0.3">
      <c r="A10" s="70"/>
      <c r="B10" s="77" t="s">
        <v>36</v>
      </c>
      <c r="C10" s="5">
        <v>4</v>
      </c>
      <c r="D10" s="3">
        <v>413</v>
      </c>
      <c r="E10" s="5">
        <v>2</v>
      </c>
      <c r="F10" s="5">
        <v>1</v>
      </c>
      <c r="G10" s="72">
        <v>1.26</v>
      </c>
      <c r="H10" s="72">
        <v>0.57999999999999996</v>
      </c>
      <c r="I10" s="5">
        <v>2</v>
      </c>
      <c r="J10" s="5">
        <v>2</v>
      </c>
      <c r="K10" s="69">
        <v>183</v>
      </c>
      <c r="L10" s="70"/>
    </row>
    <row r="11" spans="1:12" x14ac:dyDescent="0.3">
      <c r="A11" s="70"/>
      <c r="B11" s="77" t="s">
        <v>37</v>
      </c>
      <c r="C11" s="5">
        <v>2</v>
      </c>
      <c r="D11" s="3">
        <v>597</v>
      </c>
      <c r="E11" s="5">
        <v>2</v>
      </c>
      <c r="F11" s="5">
        <v>1</v>
      </c>
      <c r="G11" s="72"/>
      <c r="H11" s="72"/>
      <c r="I11" s="5">
        <v>1</v>
      </c>
      <c r="J11" s="5">
        <v>2</v>
      </c>
      <c r="K11" s="69">
        <v>0</v>
      </c>
      <c r="L11" s="70"/>
    </row>
    <row r="12" spans="1:12" x14ac:dyDescent="0.3">
      <c r="A12" s="70"/>
      <c r="B12" s="77" t="s">
        <v>38</v>
      </c>
      <c r="C12" s="5">
        <v>2</v>
      </c>
      <c r="D12" s="3">
        <v>242</v>
      </c>
      <c r="E12" s="5">
        <v>2</v>
      </c>
      <c r="F12" s="5">
        <v>1</v>
      </c>
      <c r="G12" s="72">
        <v>0.34</v>
      </c>
      <c r="H12" s="72">
        <v>0.28999999999999998</v>
      </c>
      <c r="I12" s="5">
        <v>1</v>
      </c>
      <c r="J12" s="5">
        <v>2</v>
      </c>
      <c r="K12" s="69">
        <v>10</v>
      </c>
      <c r="L12" s="70"/>
    </row>
    <row r="13" spans="1:12" x14ac:dyDescent="0.3">
      <c r="A13" s="70"/>
      <c r="B13" s="77" t="s">
        <v>39</v>
      </c>
      <c r="C13" s="5">
        <v>4</v>
      </c>
      <c r="D13" s="3">
        <v>188</v>
      </c>
      <c r="E13" s="5">
        <v>1</v>
      </c>
      <c r="F13" s="5">
        <v>1</v>
      </c>
      <c r="G13" s="72">
        <v>2.87</v>
      </c>
      <c r="H13" s="72">
        <v>1.62</v>
      </c>
      <c r="I13" s="5">
        <v>3</v>
      </c>
      <c r="J13" s="5">
        <v>0</v>
      </c>
      <c r="K13" s="69">
        <v>59</v>
      </c>
      <c r="L13" s="70"/>
    </row>
    <row r="14" spans="1:12" x14ac:dyDescent="0.3">
      <c r="A14" s="70"/>
      <c r="B14" s="77" t="s">
        <v>5</v>
      </c>
      <c r="C14" s="5">
        <v>0</v>
      </c>
      <c r="D14" s="3">
        <f>(39+39)/2</f>
        <v>39</v>
      </c>
      <c r="E14" s="5">
        <v>1</v>
      </c>
      <c r="F14" s="5">
        <v>1</v>
      </c>
      <c r="G14" s="72">
        <f>(1.15+1.23)/2</f>
        <v>1.19</v>
      </c>
      <c r="H14" s="72">
        <f>(1.05+1.04)/2</f>
        <v>1.0449999999999999</v>
      </c>
      <c r="I14" s="5">
        <v>1</v>
      </c>
      <c r="J14" s="5">
        <v>1</v>
      </c>
      <c r="K14" s="69">
        <f>(39+39)/2</f>
        <v>39</v>
      </c>
      <c r="L14" s="70"/>
    </row>
    <row r="15" spans="1:12" x14ac:dyDescent="0.3">
      <c r="A15" s="70"/>
      <c r="B15" s="77" t="s">
        <v>27</v>
      </c>
      <c r="C15" s="5">
        <v>1</v>
      </c>
      <c r="D15" s="3">
        <v>105</v>
      </c>
      <c r="E15" s="5">
        <v>1</v>
      </c>
      <c r="F15" s="5">
        <v>1</v>
      </c>
      <c r="G15" s="72"/>
      <c r="H15" s="72"/>
      <c r="I15" s="5">
        <v>1</v>
      </c>
      <c r="J15" s="5">
        <v>2</v>
      </c>
      <c r="K15" s="69">
        <v>0</v>
      </c>
      <c r="L15" s="70"/>
    </row>
    <row r="16" spans="1:12" x14ac:dyDescent="0.3">
      <c r="A16" s="70"/>
      <c r="B16" s="77" t="s">
        <v>7</v>
      </c>
      <c r="C16" s="5">
        <v>2</v>
      </c>
      <c r="D16" s="3">
        <v>341</v>
      </c>
      <c r="E16" s="5">
        <v>1</v>
      </c>
      <c r="F16" s="5">
        <v>1</v>
      </c>
      <c r="G16" s="72">
        <v>1.44</v>
      </c>
      <c r="H16" s="72">
        <v>1.17</v>
      </c>
      <c r="I16" s="5">
        <v>1</v>
      </c>
      <c r="J16" s="5">
        <v>2</v>
      </c>
      <c r="K16" s="69">
        <v>4</v>
      </c>
      <c r="L16" s="70"/>
    </row>
    <row r="17" spans="1:12" x14ac:dyDescent="0.3">
      <c r="A17" s="70"/>
      <c r="B17" s="77" t="s">
        <v>10</v>
      </c>
      <c r="C17" s="5">
        <v>3</v>
      </c>
      <c r="D17" s="3">
        <v>170</v>
      </c>
      <c r="E17" s="5">
        <v>2</v>
      </c>
      <c r="F17" s="5">
        <v>1</v>
      </c>
      <c r="G17" s="72">
        <v>1.28</v>
      </c>
      <c r="H17" s="72">
        <v>1.02</v>
      </c>
      <c r="I17" s="5">
        <v>1</v>
      </c>
      <c r="J17" s="5">
        <v>2</v>
      </c>
      <c r="K17" s="69">
        <v>55</v>
      </c>
      <c r="L17" s="70"/>
    </row>
    <row r="18" spans="1:12" x14ac:dyDescent="0.3">
      <c r="A18" s="70"/>
      <c r="B18" s="77" t="s">
        <v>1</v>
      </c>
      <c r="C18" s="5">
        <f>(2+2)/2</f>
        <v>2</v>
      </c>
      <c r="D18" s="3">
        <f>(506+481)/2</f>
        <v>493.5</v>
      </c>
      <c r="E18" s="5">
        <f>(2+2)/2</f>
        <v>2</v>
      </c>
      <c r="F18" s="5">
        <f>(1+1)/2</f>
        <v>1</v>
      </c>
      <c r="G18" s="72">
        <v>0.96</v>
      </c>
      <c r="H18" s="72"/>
      <c r="I18" s="5">
        <f>(1+1)/2</f>
        <v>1</v>
      </c>
      <c r="J18" s="5">
        <f>(1+2)/2</f>
        <v>1.5</v>
      </c>
      <c r="K18" s="69">
        <f>(1+0)/2</f>
        <v>0.5</v>
      </c>
      <c r="L18" s="70"/>
    </row>
    <row r="19" spans="1:12" x14ac:dyDescent="0.3">
      <c r="A19" s="70"/>
      <c r="B19" s="77" t="s">
        <v>9</v>
      </c>
      <c r="C19" s="5">
        <v>4</v>
      </c>
      <c r="D19" s="3">
        <v>177</v>
      </c>
      <c r="E19" s="5">
        <v>2</v>
      </c>
      <c r="F19" s="5">
        <v>1</v>
      </c>
      <c r="G19" s="72">
        <v>0.98</v>
      </c>
      <c r="H19" s="72">
        <v>0.69</v>
      </c>
      <c r="I19" s="5">
        <v>2</v>
      </c>
      <c r="J19" s="5">
        <v>2</v>
      </c>
      <c r="K19" s="69">
        <v>18</v>
      </c>
      <c r="L19" s="70"/>
    </row>
    <row r="20" spans="1:12" x14ac:dyDescent="0.3">
      <c r="A20" s="70"/>
      <c r="B20" s="77" t="s">
        <v>26</v>
      </c>
      <c r="C20" s="5">
        <v>1</v>
      </c>
      <c r="D20" s="3">
        <v>6</v>
      </c>
      <c r="E20" s="5">
        <v>1</v>
      </c>
      <c r="F20" s="5">
        <v>1</v>
      </c>
      <c r="G20" s="72"/>
      <c r="H20" s="72"/>
      <c r="I20" s="5">
        <v>1</v>
      </c>
      <c r="J20" s="5">
        <v>3</v>
      </c>
      <c r="K20" s="69">
        <v>0</v>
      </c>
      <c r="L20" s="70"/>
    </row>
    <row r="21" spans="1:12" x14ac:dyDescent="0.3">
      <c r="A21" s="70"/>
      <c r="B21" s="77" t="s">
        <v>25</v>
      </c>
      <c r="C21" s="5">
        <f>(0+0)/2</f>
        <v>0</v>
      </c>
      <c r="D21" s="3">
        <f>(9+8)/2</f>
        <v>8.5</v>
      </c>
      <c r="E21" s="5">
        <f>(1+1)/2</f>
        <v>1</v>
      </c>
      <c r="F21" s="5">
        <f>(1+1)/2</f>
        <v>1</v>
      </c>
      <c r="G21" s="72">
        <f>(1.33+1.49)/2</f>
        <v>1.4100000000000001</v>
      </c>
      <c r="H21" s="72">
        <f>(1.14+1.28)/2</f>
        <v>1.21</v>
      </c>
      <c r="I21" s="5">
        <f>(3+3)/2</f>
        <v>3</v>
      </c>
      <c r="J21" s="5">
        <f>(3+2)/2</f>
        <v>2.5</v>
      </c>
      <c r="K21" s="69">
        <f>(7+8)/2</f>
        <v>7.5</v>
      </c>
      <c r="L21" s="70"/>
    </row>
    <row r="22" spans="1:12" x14ac:dyDescent="0.3">
      <c r="A22" s="70"/>
      <c r="B22" s="77" t="s">
        <v>24</v>
      </c>
      <c r="C22" s="5">
        <v>0</v>
      </c>
      <c r="D22" s="3">
        <v>1</v>
      </c>
      <c r="E22" s="5">
        <v>1</v>
      </c>
      <c r="F22" s="5">
        <v>1</v>
      </c>
      <c r="G22" s="72">
        <v>1.35</v>
      </c>
      <c r="H22" s="72">
        <v>1.35</v>
      </c>
      <c r="I22" s="5">
        <v>3</v>
      </c>
      <c r="J22" s="5">
        <v>2</v>
      </c>
      <c r="K22" s="69">
        <v>1</v>
      </c>
      <c r="L22" s="70"/>
    </row>
    <row r="23" spans="1:12" x14ac:dyDescent="0.3">
      <c r="A23" s="70"/>
      <c r="B23" s="77" t="s">
        <v>23</v>
      </c>
      <c r="C23" s="5">
        <v>0</v>
      </c>
      <c r="D23" s="3">
        <v>4</v>
      </c>
      <c r="E23" s="5">
        <v>1</v>
      </c>
      <c r="F23" s="5">
        <v>1</v>
      </c>
      <c r="G23" s="72">
        <v>1.66</v>
      </c>
      <c r="H23" s="72">
        <v>1.39</v>
      </c>
      <c r="I23" s="5">
        <v>3</v>
      </c>
      <c r="J23" s="5">
        <v>2</v>
      </c>
      <c r="K23" s="69">
        <v>4</v>
      </c>
      <c r="L23" s="70"/>
    </row>
    <row r="24" spans="1:12" x14ac:dyDescent="0.3">
      <c r="A24" s="70"/>
      <c r="B24" s="77" t="s">
        <v>22</v>
      </c>
      <c r="C24" s="5">
        <v>3</v>
      </c>
      <c r="D24" s="73">
        <v>156</v>
      </c>
      <c r="E24" s="74">
        <v>1</v>
      </c>
      <c r="F24" s="74">
        <v>1</v>
      </c>
      <c r="G24" s="75">
        <v>1.43</v>
      </c>
      <c r="H24" s="75">
        <v>1.02</v>
      </c>
      <c r="I24" s="74">
        <v>3</v>
      </c>
      <c r="J24" s="74">
        <v>2</v>
      </c>
      <c r="K24" s="79">
        <v>12</v>
      </c>
      <c r="L24" s="70"/>
    </row>
    <row r="25" spans="1:12" x14ac:dyDescent="0.3">
      <c r="A25" s="70"/>
      <c r="B25" s="77" t="s">
        <v>21</v>
      </c>
      <c r="C25" s="5">
        <v>0</v>
      </c>
      <c r="D25" s="3">
        <v>11</v>
      </c>
      <c r="E25" s="5">
        <v>1</v>
      </c>
      <c r="F25" s="5">
        <v>1</v>
      </c>
      <c r="G25" s="72">
        <v>1.38</v>
      </c>
      <c r="H25" s="72"/>
      <c r="I25" s="5">
        <v>4</v>
      </c>
      <c r="J25" s="5">
        <v>2</v>
      </c>
      <c r="K25" s="69">
        <v>1</v>
      </c>
      <c r="L25" s="70"/>
    </row>
    <row r="26" spans="1:12" x14ac:dyDescent="0.3">
      <c r="A26" s="70"/>
      <c r="B26" s="77" t="s">
        <v>20</v>
      </c>
      <c r="C26" s="5">
        <v>0</v>
      </c>
      <c r="D26" s="3">
        <v>13</v>
      </c>
      <c r="E26" s="5">
        <v>1</v>
      </c>
      <c r="F26" s="5">
        <v>1</v>
      </c>
      <c r="G26" s="72">
        <v>1.25</v>
      </c>
      <c r="H26" s="72"/>
      <c r="I26" s="5">
        <v>4</v>
      </c>
      <c r="J26" s="5">
        <v>2</v>
      </c>
      <c r="K26" s="69">
        <v>1</v>
      </c>
      <c r="L26" s="70"/>
    </row>
    <row r="27" spans="1:12" x14ac:dyDescent="0.3">
      <c r="A27" s="70"/>
      <c r="B27" s="77" t="s">
        <v>19</v>
      </c>
      <c r="C27" s="5">
        <v>0</v>
      </c>
      <c r="D27" s="3">
        <v>6</v>
      </c>
      <c r="E27" s="5">
        <v>0</v>
      </c>
      <c r="F27" s="5">
        <v>1</v>
      </c>
      <c r="G27" s="72">
        <v>1.17</v>
      </c>
      <c r="H27" s="72">
        <v>1.1200000000000001</v>
      </c>
      <c r="I27" s="5">
        <v>1</v>
      </c>
      <c r="J27" s="5">
        <v>2</v>
      </c>
      <c r="K27" s="69">
        <v>6</v>
      </c>
      <c r="L27" s="70"/>
    </row>
    <row r="28" spans="1:12" x14ac:dyDescent="0.3">
      <c r="A28" s="70"/>
      <c r="B28" s="77" t="s">
        <v>18</v>
      </c>
      <c r="C28" s="5">
        <v>0</v>
      </c>
      <c r="D28" s="3">
        <v>43</v>
      </c>
      <c r="E28" s="5">
        <v>1</v>
      </c>
      <c r="F28" s="5">
        <v>1</v>
      </c>
      <c r="G28" s="72">
        <v>1.25</v>
      </c>
      <c r="H28" s="72">
        <v>1</v>
      </c>
      <c r="I28" s="5">
        <v>2</v>
      </c>
      <c r="J28" s="5">
        <v>2</v>
      </c>
      <c r="K28" s="69">
        <v>43</v>
      </c>
      <c r="L28" s="70"/>
    </row>
    <row r="29" spans="1:12" x14ac:dyDescent="0.3">
      <c r="A29" s="70"/>
      <c r="B29" s="77" t="s">
        <v>17</v>
      </c>
      <c r="C29" s="5">
        <v>0</v>
      </c>
      <c r="D29" s="73">
        <v>50</v>
      </c>
      <c r="E29" s="74">
        <v>1</v>
      </c>
      <c r="F29" s="74">
        <v>1</v>
      </c>
      <c r="G29" s="75">
        <v>1.1200000000000001</v>
      </c>
      <c r="H29" s="72">
        <v>1.03</v>
      </c>
      <c r="I29" s="74">
        <v>2</v>
      </c>
      <c r="J29" s="5">
        <v>2</v>
      </c>
      <c r="K29" s="69">
        <v>50</v>
      </c>
      <c r="L29" s="70"/>
    </row>
    <row r="30" spans="1:12" x14ac:dyDescent="0.3">
      <c r="A30" s="70"/>
      <c r="B30" s="77" t="s">
        <v>16</v>
      </c>
      <c r="C30" s="5">
        <v>0</v>
      </c>
      <c r="D30" s="3">
        <v>25</v>
      </c>
      <c r="E30" s="5">
        <v>1</v>
      </c>
      <c r="F30" s="5">
        <v>1</v>
      </c>
      <c r="G30" s="72">
        <v>1.1100000000000001</v>
      </c>
      <c r="H30" s="72">
        <v>1.01</v>
      </c>
      <c r="I30" s="5">
        <v>2</v>
      </c>
      <c r="J30" s="5">
        <v>2</v>
      </c>
      <c r="K30" s="69">
        <v>25</v>
      </c>
      <c r="L30" s="70"/>
    </row>
    <row r="31" spans="1:12" x14ac:dyDescent="0.3">
      <c r="A31" s="70"/>
      <c r="B31" s="77" t="s">
        <v>15</v>
      </c>
      <c r="C31" s="5">
        <v>0</v>
      </c>
      <c r="D31" s="3">
        <v>30</v>
      </c>
      <c r="E31" s="5">
        <v>0</v>
      </c>
      <c r="F31" s="5">
        <v>1</v>
      </c>
      <c r="G31" s="72">
        <v>1.21</v>
      </c>
      <c r="H31" s="72">
        <v>1</v>
      </c>
      <c r="I31" s="5">
        <v>1</v>
      </c>
      <c r="J31" s="5">
        <v>2</v>
      </c>
      <c r="K31" s="69">
        <v>30</v>
      </c>
      <c r="L31" s="70"/>
    </row>
    <row r="32" spans="1:12" x14ac:dyDescent="0.3">
      <c r="A32" s="70"/>
      <c r="B32" s="77" t="s">
        <v>3</v>
      </c>
      <c r="C32" s="5">
        <v>0</v>
      </c>
      <c r="D32" s="3">
        <v>37</v>
      </c>
      <c r="E32" s="5">
        <v>0</v>
      </c>
      <c r="F32" s="5">
        <v>1</v>
      </c>
      <c r="G32" s="72">
        <v>1.1499999999999999</v>
      </c>
      <c r="H32" s="72">
        <v>0.99</v>
      </c>
      <c r="I32" s="5">
        <v>1</v>
      </c>
      <c r="J32" s="5">
        <v>2</v>
      </c>
      <c r="K32" s="69">
        <v>37</v>
      </c>
      <c r="L32" s="70"/>
    </row>
    <row r="33" spans="1:12" x14ac:dyDescent="0.3">
      <c r="A33" s="70"/>
      <c r="B33" s="77" t="s">
        <v>2</v>
      </c>
      <c r="C33" s="5">
        <v>0</v>
      </c>
      <c r="D33" s="3">
        <v>32</v>
      </c>
      <c r="E33" s="5">
        <v>1</v>
      </c>
      <c r="F33" s="5">
        <v>1</v>
      </c>
      <c r="G33" s="72">
        <v>1.91</v>
      </c>
      <c r="H33" s="72">
        <v>1.1000000000000001</v>
      </c>
      <c r="I33" s="5">
        <v>1</v>
      </c>
      <c r="J33" s="5">
        <v>2</v>
      </c>
      <c r="K33" s="69">
        <v>32</v>
      </c>
      <c r="L33" s="70"/>
    </row>
    <row r="34" spans="1:12" x14ac:dyDescent="0.3">
      <c r="A34" s="70"/>
      <c r="B34" s="77" t="s">
        <v>14</v>
      </c>
      <c r="C34" s="5">
        <v>2</v>
      </c>
      <c r="D34" s="3">
        <v>200</v>
      </c>
      <c r="E34" s="5">
        <v>1</v>
      </c>
      <c r="F34" s="5">
        <v>1</v>
      </c>
      <c r="G34" s="72"/>
      <c r="H34" s="72"/>
      <c r="I34" s="5">
        <v>1</v>
      </c>
      <c r="J34" s="5">
        <v>2</v>
      </c>
      <c r="K34" s="69">
        <v>0</v>
      </c>
      <c r="L34" s="70"/>
    </row>
    <row r="35" spans="1:12" x14ac:dyDescent="0.3">
      <c r="A35" s="70"/>
      <c r="B35" s="77" t="s">
        <v>13</v>
      </c>
      <c r="C35" s="5">
        <v>2</v>
      </c>
      <c r="D35" s="3">
        <v>1297</v>
      </c>
      <c r="E35" s="5">
        <v>2</v>
      </c>
      <c r="F35" s="5">
        <v>3</v>
      </c>
      <c r="G35" s="72">
        <v>1.92</v>
      </c>
      <c r="H35" s="72">
        <v>1.1399999999999999</v>
      </c>
      <c r="I35" s="5">
        <v>1</v>
      </c>
      <c r="J35" s="5">
        <v>2</v>
      </c>
      <c r="K35" s="69">
        <v>33</v>
      </c>
      <c r="L35" s="70"/>
    </row>
    <row r="36" spans="1:12" x14ac:dyDescent="0.3">
      <c r="A36" s="70"/>
      <c r="B36" s="77" t="s">
        <v>12</v>
      </c>
      <c r="C36" s="5">
        <v>1</v>
      </c>
      <c r="D36" s="3">
        <v>47</v>
      </c>
      <c r="E36" s="5">
        <v>1</v>
      </c>
      <c r="F36" s="5">
        <v>1</v>
      </c>
      <c r="G36" s="72"/>
      <c r="H36" s="72"/>
      <c r="I36" s="5">
        <v>1</v>
      </c>
      <c r="J36" s="5">
        <v>2</v>
      </c>
      <c r="K36" s="69">
        <v>0</v>
      </c>
      <c r="L36" s="70"/>
    </row>
    <row r="37" spans="1:12" x14ac:dyDescent="0.3">
      <c r="A37" s="70"/>
      <c r="B37" s="77" t="s">
        <v>11</v>
      </c>
      <c r="C37" s="5">
        <v>2</v>
      </c>
      <c r="D37" s="3">
        <v>287</v>
      </c>
      <c r="E37" s="5">
        <v>2</v>
      </c>
      <c r="F37" s="5">
        <v>1</v>
      </c>
      <c r="G37" s="72">
        <v>0.9</v>
      </c>
      <c r="H37" s="72">
        <v>0.76</v>
      </c>
      <c r="I37" s="5">
        <v>2</v>
      </c>
      <c r="J37" s="5">
        <v>2</v>
      </c>
      <c r="K37" s="69">
        <v>19</v>
      </c>
      <c r="L37" s="70"/>
    </row>
    <row r="38" spans="1:12" x14ac:dyDescent="0.3">
      <c r="A38" s="70"/>
      <c r="B38" s="77" t="s">
        <v>8</v>
      </c>
      <c r="C38" s="5">
        <v>0</v>
      </c>
      <c r="D38" s="3">
        <v>12</v>
      </c>
      <c r="E38" s="5">
        <v>0</v>
      </c>
      <c r="F38" s="5">
        <v>1</v>
      </c>
      <c r="G38" s="72">
        <v>1.0900000000000001</v>
      </c>
      <c r="H38" s="72">
        <v>1.05</v>
      </c>
      <c r="I38" s="5">
        <v>1</v>
      </c>
      <c r="J38" s="5">
        <v>1</v>
      </c>
      <c r="K38" s="69">
        <v>12</v>
      </c>
      <c r="L38" s="70"/>
    </row>
    <row r="39" spans="1:12" x14ac:dyDescent="0.3">
      <c r="A39" s="70"/>
      <c r="B39" s="77" t="s">
        <v>6</v>
      </c>
      <c r="C39" s="5">
        <v>1</v>
      </c>
      <c r="D39" s="3">
        <v>52</v>
      </c>
      <c r="E39" s="5">
        <v>1</v>
      </c>
      <c r="F39" s="5">
        <v>1</v>
      </c>
      <c r="G39" s="72">
        <v>1.1599999999999999</v>
      </c>
      <c r="H39" s="72"/>
      <c r="I39" s="5">
        <v>1</v>
      </c>
      <c r="J39" s="5">
        <v>2</v>
      </c>
      <c r="K39" s="69">
        <v>1</v>
      </c>
      <c r="L39" s="70"/>
    </row>
    <row r="40" spans="1:12" x14ac:dyDescent="0.3">
      <c r="A40" s="70"/>
      <c r="B40" s="77" t="s">
        <v>4</v>
      </c>
      <c r="C40" s="5">
        <v>1</v>
      </c>
      <c r="D40" s="3">
        <v>3</v>
      </c>
      <c r="E40" s="5">
        <v>0</v>
      </c>
      <c r="F40" s="5">
        <v>1</v>
      </c>
      <c r="G40" s="72">
        <v>1.0900000000000001</v>
      </c>
      <c r="H40" s="72">
        <v>1.0900000000000001</v>
      </c>
      <c r="I40" s="5">
        <v>1</v>
      </c>
      <c r="J40" s="5">
        <v>2</v>
      </c>
      <c r="K40" s="69">
        <v>1</v>
      </c>
      <c r="L40" s="70"/>
    </row>
    <row r="41" spans="1:12" ht="15" thickBot="1" x14ac:dyDescent="0.35">
      <c r="A41" s="70"/>
      <c r="B41" s="82" t="s">
        <v>28</v>
      </c>
      <c r="C41" s="83">
        <v>2</v>
      </c>
      <c r="D41" s="84">
        <v>69</v>
      </c>
      <c r="E41" s="83">
        <v>1</v>
      </c>
      <c r="F41" s="83">
        <v>1</v>
      </c>
      <c r="G41" s="85">
        <v>1.21</v>
      </c>
      <c r="H41" s="85">
        <v>0.97</v>
      </c>
      <c r="I41" s="83">
        <v>1</v>
      </c>
      <c r="J41" s="83">
        <v>1</v>
      </c>
      <c r="K41" s="86">
        <v>19</v>
      </c>
      <c r="L41" s="70"/>
    </row>
    <row r="42" spans="1:12" x14ac:dyDescent="0.3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</row>
  </sheetData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DAC3B-2009-4626-A2C7-717EC50C2C30}">
  <dimension ref="A1:L42"/>
  <sheetViews>
    <sheetView zoomScale="85" zoomScaleNormal="85" workbookViewId="0"/>
  </sheetViews>
  <sheetFormatPr baseColWidth="10" defaultColWidth="0" defaultRowHeight="14.4" zeroHeight="1" x14ac:dyDescent="0.3"/>
  <cols>
    <col min="1" max="12" width="11.5546875" style="70" customWidth="1"/>
    <col min="13" max="16384" width="11.5546875" hidden="1"/>
  </cols>
  <sheetData>
    <row r="1" spans="2:11" s="70" customFormat="1" ht="15" thickBot="1" x14ac:dyDescent="0.35"/>
    <row r="2" spans="2:11" ht="43.8" thickBot="1" x14ac:dyDescent="0.35">
      <c r="B2" s="91" t="s">
        <v>0</v>
      </c>
      <c r="C2" s="92" t="s">
        <v>142</v>
      </c>
      <c r="D2" s="92" t="s">
        <v>105</v>
      </c>
      <c r="E2" s="92" t="s">
        <v>141</v>
      </c>
      <c r="F2" s="92" t="s">
        <v>140</v>
      </c>
      <c r="G2" s="92" t="s">
        <v>139</v>
      </c>
      <c r="H2" s="92" t="s">
        <v>104</v>
      </c>
      <c r="I2" s="92" t="s">
        <v>143</v>
      </c>
      <c r="J2" s="93" t="s">
        <v>102</v>
      </c>
      <c r="K2" s="94" t="s">
        <v>148</v>
      </c>
    </row>
    <row r="3" spans="2:11" x14ac:dyDescent="0.3">
      <c r="B3" s="87" t="s">
        <v>32</v>
      </c>
      <c r="C3" s="88">
        <v>2</v>
      </c>
      <c r="D3" s="89">
        <v>711</v>
      </c>
      <c r="E3" s="88">
        <v>2</v>
      </c>
      <c r="F3" s="88">
        <v>1</v>
      </c>
      <c r="G3" s="90">
        <v>0.75</v>
      </c>
      <c r="H3" s="90">
        <v>0.56999999999999995</v>
      </c>
      <c r="I3" s="88">
        <v>2</v>
      </c>
      <c r="J3" s="88">
        <v>1</v>
      </c>
      <c r="K3" s="78">
        <v>9</v>
      </c>
    </row>
    <row r="4" spans="2:11" x14ac:dyDescent="0.3">
      <c r="B4" s="77" t="s">
        <v>29</v>
      </c>
      <c r="C4" s="5">
        <v>2</v>
      </c>
      <c r="D4" s="3">
        <v>231</v>
      </c>
      <c r="E4" s="5">
        <v>2</v>
      </c>
      <c r="F4" s="5">
        <v>1</v>
      </c>
      <c r="G4" s="72">
        <v>0.56000000000000005</v>
      </c>
      <c r="H4" s="72">
        <v>0.42</v>
      </c>
      <c r="I4" s="5">
        <v>3</v>
      </c>
      <c r="J4" s="5">
        <v>1</v>
      </c>
      <c r="K4" s="69">
        <v>16</v>
      </c>
    </row>
    <row r="5" spans="2:11" x14ac:dyDescent="0.3">
      <c r="B5" s="77" t="s">
        <v>30</v>
      </c>
      <c r="C5" s="5">
        <v>3</v>
      </c>
      <c r="D5" s="3">
        <v>440</v>
      </c>
      <c r="E5" s="5">
        <v>2</v>
      </c>
      <c r="F5" s="5">
        <v>1</v>
      </c>
      <c r="G5" s="72">
        <v>1.65</v>
      </c>
      <c r="H5" s="72">
        <v>0.35</v>
      </c>
      <c r="I5" s="5">
        <v>2</v>
      </c>
      <c r="J5" s="5">
        <v>1</v>
      </c>
      <c r="K5" s="69">
        <v>20</v>
      </c>
    </row>
    <row r="6" spans="2:11" x14ac:dyDescent="0.3">
      <c r="B6" s="77" t="s">
        <v>31</v>
      </c>
      <c r="C6" s="5">
        <v>3</v>
      </c>
      <c r="D6" s="3">
        <v>214</v>
      </c>
      <c r="E6" s="5">
        <v>2</v>
      </c>
      <c r="F6" s="5">
        <v>1</v>
      </c>
      <c r="G6" s="72">
        <v>0.8</v>
      </c>
      <c r="H6" s="72">
        <v>0.37</v>
      </c>
      <c r="I6" s="5">
        <v>2</v>
      </c>
      <c r="J6" s="5">
        <v>1</v>
      </c>
      <c r="K6" s="69">
        <v>20</v>
      </c>
    </row>
    <row r="7" spans="2:11" x14ac:dyDescent="0.3">
      <c r="B7" s="77" t="s">
        <v>33</v>
      </c>
      <c r="C7" s="5">
        <v>3</v>
      </c>
      <c r="D7" s="3">
        <v>460</v>
      </c>
      <c r="E7" s="5">
        <v>2</v>
      </c>
      <c r="F7" s="5">
        <v>1</v>
      </c>
      <c r="G7" s="72">
        <v>1.32</v>
      </c>
      <c r="H7" s="72">
        <v>0.52</v>
      </c>
      <c r="I7" s="5">
        <v>2</v>
      </c>
      <c r="J7" s="5">
        <v>1</v>
      </c>
      <c r="K7" s="69">
        <v>26</v>
      </c>
    </row>
    <row r="8" spans="2:11" x14ac:dyDescent="0.3">
      <c r="B8" s="77" t="s">
        <v>34</v>
      </c>
      <c r="C8" s="5">
        <v>3</v>
      </c>
      <c r="D8" s="3">
        <v>547</v>
      </c>
      <c r="E8" s="5">
        <v>2</v>
      </c>
      <c r="F8" s="5">
        <v>1</v>
      </c>
      <c r="G8" s="72">
        <v>0.77</v>
      </c>
      <c r="H8" s="72">
        <v>0.44</v>
      </c>
      <c r="I8" s="5">
        <v>2</v>
      </c>
      <c r="J8" s="5">
        <v>1</v>
      </c>
      <c r="K8" s="69">
        <v>18</v>
      </c>
    </row>
    <row r="9" spans="2:11" x14ac:dyDescent="0.3">
      <c r="B9" s="77" t="s">
        <v>35</v>
      </c>
      <c r="C9" s="5">
        <v>2</v>
      </c>
      <c r="D9" s="3">
        <v>498</v>
      </c>
      <c r="E9" s="5">
        <v>2</v>
      </c>
      <c r="F9" s="5">
        <v>1</v>
      </c>
      <c r="G9" s="72">
        <v>0.98</v>
      </c>
      <c r="H9" s="72">
        <v>0.48</v>
      </c>
      <c r="I9" s="5">
        <v>2</v>
      </c>
      <c r="J9" s="5">
        <v>1</v>
      </c>
      <c r="K9" s="69">
        <v>32</v>
      </c>
    </row>
    <row r="10" spans="2:11" x14ac:dyDescent="0.3">
      <c r="B10" s="77" t="s">
        <v>36</v>
      </c>
      <c r="C10" s="5">
        <v>4</v>
      </c>
      <c r="D10" s="3">
        <v>613</v>
      </c>
      <c r="E10" s="5">
        <v>3</v>
      </c>
      <c r="F10" s="5">
        <v>1</v>
      </c>
      <c r="G10" s="72">
        <v>1.24</v>
      </c>
      <c r="H10" s="72">
        <v>0.62</v>
      </c>
      <c r="I10" s="5">
        <v>4</v>
      </c>
      <c r="J10" s="5">
        <v>1</v>
      </c>
      <c r="K10" s="69">
        <v>36</v>
      </c>
    </row>
    <row r="11" spans="2:11" x14ac:dyDescent="0.3">
      <c r="B11" s="77" t="s">
        <v>37</v>
      </c>
      <c r="C11" s="5">
        <v>2</v>
      </c>
      <c r="D11" s="3">
        <v>663</v>
      </c>
      <c r="E11" s="5">
        <v>2</v>
      </c>
      <c r="F11" s="5">
        <v>1</v>
      </c>
      <c r="G11" s="72">
        <v>1.05</v>
      </c>
      <c r="H11" s="72">
        <v>0.45</v>
      </c>
      <c r="I11" s="5">
        <v>3</v>
      </c>
      <c r="J11" s="5">
        <v>1</v>
      </c>
      <c r="K11" s="69">
        <v>23</v>
      </c>
    </row>
    <row r="12" spans="2:11" x14ac:dyDescent="0.3">
      <c r="B12" s="77" t="s">
        <v>38</v>
      </c>
      <c r="C12" s="5">
        <v>2</v>
      </c>
      <c r="D12" s="3">
        <v>307</v>
      </c>
      <c r="E12" s="5">
        <v>2</v>
      </c>
      <c r="F12" s="5">
        <v>1</v>
      </c>
      <c r="G12" s="72">
        <v>0.78</v>
      </c>
      <c r="H12" s="72">
        <v>0.38</v>
      </c>
      <c r="I12" s="5">
        <v>2</v>
      </c>
      <c r="J12" s="5">
        <v>1</v>
      </c>
      <c r="K12" s="69">
        <v>42</v>
      </c>
    </row>
    <row r="13" spans="2:11" x14ac:dyDescent="0.3">
      <c r="B13" s="77" t="s">
        <v>39</v>
      </c>
      <c r="C13" s="5">
        <v>4</v>
      </c>
      <c r="D13" s="3">
        <f>(220+201)/2</f>
        <v>210.5</v>
      </c>
      <c r="E13" s="5">
        <v>2</v>
      </c>
      <c r="F13" s="5">
        <v>1</v>
      </c>
      <c r="G13" s="72">
        <v>2.96</v>
      </c>
      <c r="H13" s="72">
        <v>1.64</v>
      </c>
      <c r="I13" s="5">
        <v>5</v>
      </c>
      <c r="J13" s="5">
        <v>1</v>
      </c>
      <c r="K13" s="69">
        <v>61</v>
      </c>
    </row>
    <row r="14" spans="2:11" x14ac:dyDescent="0.3">
      <c r="B14" s="77" t="s">
        <v>5</v>
      </c>
      <c r="C14" s="5">
        <v>1</v>
      </c>
      <c r="D14" s="3">
        <v>44</v>
      </c>
      <c r="E14" s="5">
        <v>1</v>
      </c>
      <c r="F14" s="5">
        <v>1</v>
      </c>
      <c r="G14" s="72">
        <f>(1.16+1.21)/2</f>
        <v>1.1850000000000001</v>
      </c>
      <c r="H14" s="72">
        <v>1.1200000000000001</v>
      </c>
      <c r="I14" s="5">
        <v>1</v>
      </c>
      <c r="J14" s="5">
        <v>1</v>
      </c>
      <c r="K14" s="69">
        <v>21</v>
      </c>
    </row>
    <row r="15" spans="2:11" x14ac:dyDescent="0.3">
      <c r="B15" s="77" t="s">
        <v>27</v>
      </c>
      <c r="C15" s="5">
        <v>2</v>
      </c>
      <c r="D15" s="3">
        <v>139</v>
      </c>
      <c r="E15" s="5">
        <v>1</v>
      </c>
      <c r="F15" s="5">
        <v>1</v>
      </c>
      <c r="G15" s="72">
        <v>0.39</v>
      </c>
      <c r="H15" s="72">
        <v>0.28999999999999998</v>
      </c>
      <c r="I15" s="5">
        <v>2</v>
      </c>
      <c r="J15" s="5">
        <v>1</v>
      </c>
      <c r="K15" s="97">
        <v>18</v>
      </c>
    </row>
    <row r="16" spans="2:11" x14ac:dyDescent="0.3">
      <c r="B16" s="77" t="s">
        <v>7</v>
      </c>
      <c r="C16" s="5">
        <v>2</v>
      </c>
      <c r="D16" s="98">
        <v>346</v>
      </c>
      <c r="E16" s="5">
        <v>1</v>
      </c>
      <c r="F16" s="5">
        <v>1</v>
      </c>
      <c r="G16" s="95">
        <v>1.48</v>
      </c>
      <c r="H16" s="95">
        <v>0.31</v>
      </c>
      <c r="I16" s="5">
        <v>2</v>
      </c>
      <c r="J16" s="96">
        <v>1</v>
      </c>
      <c r="K16" s="99">
        <v>22</v>
      </c>
    </row>
    <row r="17" spans="1:12" x14ac:dyDescent="0.3">
      <c r="B17" s="77" t="s">
        <v>10</v>
      </c>
      <c r="C17" s="5">
        <v>3</v>
      </c>
      <c r="D17" s="3">
        <v>244</v>
      </c>
      <c r="E17" s="5">
        <v>1</v>
      </c>
      <c r="F17" s="5">
        <v>1</v>
      </c>
      <c r="G17" s="72">
        <v>1.33</v>
      </c>
      <c r="H17" s="72">
        <v>0.9</v>
      </c>
      <c r="I17" s="5">
        <v>2</v>
      </c>
      <c r="J17" s="5">
        <v>1</v>
      </c>
      <c r="K17" s="78">
        <v>15</v>
      </c>
    </row>
    <row r="18" spans="1:12" x14ac:dyDescent="0.3">
      <c r="B18" s="77" t="s">
        <v>1</v>
      </c>
      <c r="C18" s="5">
        <v>1</v>
      </c>
      <c r="D18" s="3">
        <v>471</v>
      </c>
      <c r="E18" s="5">
        <v>1</v>
      </c>
      <c r="F18" s="5">
        <v>1</v>
      </c>
      <c r="G18" s="72">
        <v>0.97</v>
      </c>
      <c r="H18" s="72">
        <v>0.43</v>
      </c>
      <c r="I18" s="5">
        <v>2</v>
      </c>
      <c r="J18" s="5">
        <v>1</v>
      </c>
      <c r="K18" s="69">
        <v>16</v>
      </c>
    </row>
    <row r="19" spans="1:12" x14ac:dyDescent="0.3">
      <c r="B19" s="77" t="s">
        <v>9</v>
      </c>
      <c r="C19" s="5">
        <v>4</v>
      </c>
      <c r="D19" s="3">
        <v>221</v>
      </c>
      <c r="E19" s="5">
        <v>1</v>
      </c>
      <c r="F19" s="5">
        <v>1</v>
      </c>
      <c r="G19" s="72">
        <v>0.91</v>
      </c>
      <c r="H19" s="72">
        <v>0.62</v>
      </c>
      <c r="I19" s="5">
        <v>3</v>
      </c>
      <c r="J19" s="5">
        <v>1</v>
      </c>
      <c r="K19" s="69">
        <v>19</v>
      </c>
    </row>
    <row r="20" spans="1:12" x14ac:dyDescent="0.3">
      <c r="B20" s="77" t="s">
        <v>26</v>
      </c>
      <c r="C20" s="5">
        <v>2</v>
      </c>
      <c r="D20" s="3">
        <v>16</v>
      </c>
      <c r="E20" s="5">
        <v>1</v>
      </c>
      <c r="F20" s="5">
        <v>1</v>
      </c>
      <c r="G20" s="72">
        <v>0.56000000000000005</v>
      </c>
      <c r="H20" s="72">
        <v>0.5</v>
      </c>
      <c r="I20" s="5">
        <v>3</v>
      </c>
      <c r="J20" s="5">
        <v>1</v>
      </c>
      <c r="K20" s="69">
        <v>4</v>
      </c>
    </row>
    <row r="21" spans="1:12" x14ac:dyDescent="0.3">
      <c r="B21" s="77" t="s">
        <v>25</v>
      </c>
      <c r="C21" s="5">
        <f>(1+2)/2</f>
        <v>1.5</v>
      </c>
      <c r="D21" s="3">
        <f>(28+25)/2</f>
        <v>26.5</v>
      </c>
      <c r="E21" s="5">
        <f>(0+1)/2</f>
        <v>0.5</v>
      </c>
      <c r="F21" s="5">
        <f>(1+1)/2</f>
        <v>1</v>
      </c>
      <c r="G21" s="72">
        <f>(1.3+1.32)/2</f>
        <v>1.31</v>
      </c>
      <c r="H21" s="72">
        <f>(1.02+0.95)/2</f>
        <v>0.98499999999999999</v>
      </c>
      <c r="I21" s="5">
        <f>(2+2)/2</f>
        <v>2</v>
      </c>
      <c r="J21" s="5">
        <f>(1+1)/2</f>
        <v>1</v>
      </c>
      <c r="K21" s="69">
        <f>(11+13)/2</f>
        <v>12</v>
      </c>
    </row>
    <row r="22" spans="1:12" x14ac:dyDescent="0.3">
      <c r="B22" s="77" t="s">
        <v>24</v>
      </c>
      <c r="C22" s="5">
        <f>(2+2)/2</f>
        <v>2</v>
      </c>
      <c r="D22" s="3">
        <v>5</v>
      </c>
      <c r="E22" s="5">
        <f>(1+1)/2</f>
        <v>1</v>
      </c>
      <c r="F22" s="5">
        <f>(1+1)/2</f>
        <v>1</v>
      </c>
      <c r="G22" s="72">
        <v>1.02</v>
      </c>
      <c r="H22" s="72">
        <v>1</v>
      </c>
      <c r="I22" s="5">
        <f>(2+2)/2</f>
        <v>2</v>
      </c>
      <c r="J22" s="5">
        <f>(2+1)/2</f>
        <v>1.5</v>
      </c>
      <c r="K22" s="69">
        <v>2</v>
      </c>
    </row>
    <row r="23" spans="1:12" x14ac:dyDescent="0.3">
      <c r="B23" s="77" t="s">
        <v>23</v>
      </c>
      <c r="C23" s="5">
        <v>1</v>
      </c>
      <c r="D23" s="73">
        <v>13</v>
      </c>
      <c r="E23" s="74">
        <v>1</v>
      </c>
      <c r="F23" s="74">
        <v>1</v>
      </c>
      <c r="G23" s="72">
        <v>1.34</v>
      </c>
      <c r="H23" s="72">
        <v>0.89</v>
      </c>
      <c r="I23" s="5">
        <v>3</v>
      </c>
      <c r="J23" s="5">
        <v>2</v>
      </c>
      <c r="K23" s="79">
        <v>9</v>
      </c>
    </row>
    <row r="24" spans="1:12" s="2" customFormat="1" x14ac:dyDescent="0.3">
      <c r="A24" s="80"/>
      <c r="B24" s="81" t="s">
        <v>22</v>
      </c>
      <c r="C24" s="74">
        <v>3</v>
      </c>
      <c r="D24" s="73">
        <v>221</v>
      </c>
      <c r="E24" s="74">
        <v>2</v>
      </c>
      <c r="F24" s="74">
        <v>1</v>
      </c>
      <c r="G24" s="75">
        <v>1.51</v>
      </c>
      <c r="H24" s="75">
        <v>0.79</v>
      </c>
      <c r="I24" s="74">
        <v>2</v>
      </c>
      <c r="J24" s="74">
        <v>2</v>
      </c>
      <c r="K24" s="79">
        <v>22</v>
      </c>
      <c r="L24" s="80"/>
    </row>
    <row r="25" spans="1:12" x14ac:dyDescent="0.3">
      <c r="B25" s="77" t="s">
        <v>21</v>
      </c>
      <c r="C25" s="5">
        <v>3</v>
      </c>
      <c r="D25" s="3">
        <v>56</v>
      </c>
      <c r="E25" s="5">
        <v>1</v>
      </c>
      <c r="F25" s="5">
        <v>1</v>
      </c>
      <c r="G25" s="72">
        <v>1.36</v>
      </c>
      <c r="H25" s="72">
        <v>0.49</v>
      </c>
      <c r="I25" s="5">
        <v>3</v>
      </c>
      <c r="J25" s="5">
        <v>2</v>
      </c>
      <c r="K25" s="69">
        <v>15</v>
      </c>
    </row>
    <row r="26" spans="1:12" x14ac:dyDescent="0.3">
      <c r="B26" s="77" t="s">
        <v>20</v>
      </c>
      <c r="C26" s="5">
        <v>2</v>
      </c>
      <c r="D26" s="3">
        <v>55</v>
      </c>
      <c r="E26" s="5">
        <v>0</v>
      </c>
      <c r="F26" s="5">
        <v>1</v>
      </c>
      <c r="G26" s="72">
        <v>1.7</v>
      </c>
      <c r="H26" s="72">
        <v>0.68</v>
      </c>
      <c r="I26" s="5">
        <v>3</v>
      </c>
      <c r="J26" s="5">
        <v>1</v>
      </c>
      <c r="K26" s="69">
        <v>14</v>
      </c>
    </row>
    <row r="27" spans="1:12" x14ac:dyDescent="0.3">
      <c r="B27" s="77" t="s">
        <v>19</v>
      </c>
      <c r="C27" s="5">
        <v>0</v>
      </c>
      <c r="D27" s="3">
        <v>17</v>
      </c>
      <c r="E27" s="5">
        <v>0</v>
      </c>
      <c r="F27" s="5">
        <v>1</v>
      </c>
      <c r="G27" s="72">
        <v>1.26</v>
      </c>
      <c r="H27" s="72">
        <v>0.81</v>
      </c>
      <c r="I27" s="5">
        <v>1</v>
      </c>
      <c r="J27" s="5">
        <v>1</v>
      </c>
      <c r="K27" s="69">
        <v>10</v>
      </c>
    </row>
    <row r="28" spans="1:12" x14ac:dyDescent="0.3">
      <c r="B28" s="77" t="s">
        <v>18</v>
      </c>
      <c r="C28" s="5">
        <v>0</v>
      </c>
      <c r="D28" s="3">
        <v>65</v>
      </c>
      <c r="E28" s="5">
        <v>1</v>
      </c>
      <c r="F28" s="5">
        <v>1</v>
      </c>
      <c r="G28" s="72">
        <v>1.22</v>
      </c>
      <c r="H28" s="72">
        <v>0.99</v>
      </c>
      <c r="I28" s="5">
        <v>1</v>
      </c>
      <c r="J28" s="5">
        <v>1</v>
      </c>
      <c r="K28" s="69">
        <v>18</v>
      </c>
    </row>
    <row r="29" spans="1:12" s="2" customFormat="1" x14ac:dyDescent="0.3">
      <c r="A29" s="80"/>
      <c r="B29" s="81" t="s">
        <v>17</v>
      </c>
      <c r="C29" s="74">
        <v>0</v>
      </c>
      <c r="D29" s="73">
        <v>56</v>
      </c>
      <c r="E29" s="74">
        <v>1</v>
      </c>
      <c r="F29" s="74">
        <v>1</v>
      </c>
      <c r="G29" s="75">
        <f>(1.31+1.22)/2</f>
        <v>1.2650000000000001</v>
      </c>
      <c r="H29" s="75">
        <v>1.1499999999999999</v>
      </c>
      <c r="I29" s="74">
        <v>1</v>
      </c>
      <c r="J29" s="74">
        <v>1</v>
      </c>
      <c r="K29" s="79">
        <v>22</v>
      </c>
      <c r="L29" s="80"/>
    </row>
    <row r="30" spans="1:12" x14ac:dyDescent="0.3">
      <c r="B30" s="77" t="s">
        <v>16</v>
      </c>
      <c r="C30" s="5">
        <v>1</v>
      </c>
      <c r="D30" s="3">
        <v>36</v>
      </c>
      <c r="E30" s="5">
        <v>1</v>
      </c>
      <c r="F30" s="5">
        <v>1</v>
      </c>
      <c r="G30" s="72">
        <v>1.38</v>
      </c>
      <c r="H30" s="72">
        <v>1.0900000000000001</v>
      </c>
      <c r="I30" s="5">
        <v>2</v>
      </c>
      <c r="J30" s="5">
        <v>1</v>
      </c>
      <c r="K30" s="69">
        <v>7</v>
      </c>
    </row>
    <row r="31" spans="1:12" x14ac:dyDescent="0.3">
      <c r="B31" s="77" t="s">
        <v>15</v>
      </c>
      <c r="C31" s="5">
        <v>1</v>
      </c>
      <c r="D31" s="3">
        <v>43</v>
      </c>
      <c r="E31" s="5">
        <v>1</v>
      </c>
      <c r="F31" s="5">
        <v>1</v>
      </c>
      <c r="G31" s="72">
        <f>(1.3+1.24)/2</f>
        <v>1.27</v>
      </c>
      <c r="H31" s="72">
        <v>1.1100000000000001</v>
      </c>
      <c r="I31" s="5">
        <v>2</v>
      </c>
      <c r="J31" s="5">
        <v>1</v>
      </c>
      <c r="K31" s="69">
        <v>22</v>
      </c>
    </row>
    <row r="32" spans="1:12" x14ac:dyDescent="0.3">
      <c r="B32" s="77" t="s">
        <v>3</v>
      </c>
      <c r="C32" s="5">
        <v>0</v>
      </c>
      <c r="D32" s="3">
        <v>42</v>
      </c>
      <c r="E32" s="5">
        <v>1</v>
      </c>
      <c r="F32" s="5">
        <v>1</v>
      </c>
      <c r="G32" s="72">
        <f>(1.17+1.25)/2</f>
        <v>1.21</v>
      </c>
      <c r="H32" s="72">
        <v>1.1200000000000001</v>
      </c>
      <c r="I32" s="5">
        <v>2</v>
      </c>
      <c r="J32" s="5">
        <v>2</v>
      </c>
      <c r="K32" s="69">
        <v>20</v>
      </c>
    </row>
    <row r="33" spans="2:11" x14ac:dyDescent="0.3">
      <c r="B33" s="77" t="s">
        <v>2</v>
      </c>
      <c r="C33" s="5">
        <v>2</v>
      </c>
      <c r="D33" s="3">
        <v>39</v>
      </c>
      <c r="E33" s="5">
        <v>1</v>
      </c>
      <c r="F33" s="5">
        <v>1</v>
      </c>
      <c r="G33" s="72">
        <v>2.12</v>
      </c>
      <c r="H33" s="72">
        <v>1.1200000000000001</v>
      </c>
      <c r="I33" s="5">
        <v>2</v>
      </c>
      <c r="J33" s="5">
        <v>2</v>
      </c>
      <c r="K33" s="69">
        <v>14</v>
      </c>
    </row>
    <row r="34" spans="2:11" x14ac:dyDescent="0.3">
      <c r="B34" s="77" t="s">
        <v>14</v>
      </c>
      <c r="C34" s="5">
        <v>2</v>
      </c>
      <c r="D34" s="3">
        <v>275</v>
      </c>
      <c r="E34" s="5">
        <v>2</v>
      </c>
      <c r="F34" s="5">
        <v>1</v>
      </c>
      <c r="G34" s="72">
        <v>1.23</v>
      </c>
      <c r="H34" s="72">
        <v>0.42</v>
      </c>
      <c r="I34" s="5">
        <v>2</v>
      </c>
      <c r="J34" s="5">
        <v>2</v>
      </c>
      <c r="K34" s="69">
        <v>19</v>
      </c>
    </row>
    <row r="35" spans="2:11" x14ac:dyDescent="0.3">
      <c r="B35" s="77" t="s">
        <v>13</v>
      </c>
      <c r="C35" s="5">
        <v>3</v>
      </c>
      <c r="D35" s="3">
        <v>1386</v>
      </c>
      <c r="E35" s="5">
        <v>2</v>
      </c>
      <c r="F35" s="5">
        <v>1</v>
      </c>
      <c r="G35" s="72">
        <v>2.14</v>
      </c>
      <c r="H35" s="72">
        <v>0.57999999999999996</v>
      </c>
      <c r="I35" s="5">
        <v>3</v>
      </c>
      <c r="J35" s="5">
        <v>2</v>
      </c>
      <c r="K35" s="69">
        <v>21</v>
      </c>
    </row>
    <row r="36" spans="2:11" x14ac:dyDescent="0.3">
      <c r="B36" s="77" t="s">
        <v>12</v>
      </c>
      <c r="C36" s="5">
        <v>2</v>
      </c>
      <c r="D36" s="3">
        <v>129</v>
      </c>
      <c r="E36" s="5">
        <v>2</v>
      </c>
      <c r="F36" s="5">
        <v>1</v>
      </c>
      <c r="G36" s="72">
        <v>1.5</v>
      </c>
      <c r="H36" s="72">
        <v>0.67</v>
      </c>
      <c r="I36" s="5">
        <v>2</v>
      </c>
      <c r="J36" s="5">
        <v>3</v>
      </c>
      <c r="K36" s="69">
        <v>24</v>
      </c>
    </row>
    <row r="37" spans="2:11" x14ac:dyDescent="0.3">
      <c r="B37" s="77" t="s">
        <v>11</v>
      </c>
      <c r="C37" s="5">
        <v>2</v>
      </c>
      <c r="D37" s="3">
        <v>341</v>
      </c>
      <c r="E37" s="5">
        <v>2</v>
      </c>
      <c r="F37" s="5">
        <v>1</v>
      </c>
      <c r="G37" s="72">
        <v>1.01</v>
      </c>
      <c r="H37" s="72">
        <v>0.41</v>
      </c>
      <c r="I37" s="5">
        <v>2</v>
      </c>
      <c r="J37" s="5">
        <v>2</v>
      </c>
      <c r="K37" s="69">
        <v>31</v>
      </c>
    </row>
    <row r="38" spans="2:11" x14ac:dyDescent="0.3">
      <c r="B38" s="77" t="s">
        <v>8</v>
      </c>
      <c r="C38" s="5">
        <v>1</v>
      </c>
      <c r="D38" s="3">
        <v>31</v>
      </c>
      <c r="E38" s="5">
        <v>0</v>
      </c>
      <c r="F38" s="5">
        <v>1</v>
      </c>
      <c r="G38" s="72">
        <v>1.43</v>
      </c>
      <c r="H38" s="72">
        <v>0.56999999999999995</v>
      </c>
      <c r="I38" s="5">
        <v>2</v>
      </c>
      <c r="J38" s="5">
        <v>2</v>
      </c>
      <c r="K38" s="69">
        <v>18</v>
      </c>
    </row>
    <row r="39" spans="2:11" x14ac:dyDescent="0.3">
      <c r="B39" s="77" t="s">
        <v>6</v>
      </c>
      <c r="C39" s="5">
        <v>1</v>
      </c>
      <c r="D39" s="3">
        <v>68</v>
      </c>
      <c r="E39" s="5">
        <v>2</v>
      </c>
      <c r="F39" s="5">
        <v>1</v>
      </c>
      <c r="G39" s="72">
        <v>1.1299999999999999</v>
      </c>
      <c r="H39" s="72">
        <v>0.31</v>
      </c>
      <c r="I39" s="5">
        <v>2</v>
      </c>
      <c r="J39" s="5">
        <v>2</v>
      </c>
      <c r="K39" s="69">
        <v>10</v>
      </c>
    </row>
    <row r="40" spans="2:11" x14ac:dyDescent="0.3">
      <c r="B40" s="77" t="s">
        <v>4</v>
      </c>
      <c r="C40" s="5">
        <v>0</v>
      </c>
      <c r="D40" s="3">
        <v>10</v>
      </c>
      <c r="E40" s="5">
        <v>0</v>
      </c>
      <c r="F40" s="5">
        <v>1</v>
      </c>
      <c r="G40" s="72">
        <v>1.1000000000000001</v>
      </c>
      <c r="H40" s="72">
        <v>0.7</v>
      </c>
      <c r="I40" s="5">
        <v>1</v>
      </c>
      <c r="J40" s="5">
        <v>1</v>
      </c>
      <c r="K40" s="69">
        <v>6</v>
      </c>
    </row>
    <row r="41" spans="2:11" ht="15" thickBot="1" x14ac:dyDescent="0.35">
      <c r="B41" s="82" t="s">
        <v>28</v>
      </c>
      <c r="C41" s="83">
        <v>2</v>
      </c>
      <c r="D41" s="84">
        <v>75</v>
      </c>
      <c r="E41" s="83">
        <v>2</v>
      </c>
      <c r="F41" s="83">
        <v>1</v>
      </c>
      <c r="G41" s="85">
        <v>1.1399999999999999</v>
      </c>
      <c r="H41" s="85">
        <v>0.87</v>
      </c>
      <c r="I41" s="83">
        <v>2</v>
      </c>
      <c r="J41" s="83">
        <v>3</v>
      </c>
      <c r="K41" s="86">
        <v>15</v>
      </c>
    </row>
    <row r="42" spans="2:11" x14ac:dyDescent="0.3"/>
  </sheetData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9C115-D121-44AB-984C-B692AF5141CD}">
  <dimension ref="A1:H42"/>
  <sheetViews>
    <sheetView zoomScale="85" zoomScaleNormal="85" workbookViewId="0"/>
  </sheetViews>
  <sheetFormatPr baseColWidth="10" defaultColWidth="0" defaultRowHeight="14.4" zeroHeight="1" x14ac:dyDescent="0.3"/>
  <cols>
    <col min="1" max="8" width="11.5546875" style="70" customWidth="1"/>
    <col min="9" max="16384" width="11.5546875" hidden="1"/>
  </cols>
  <sheetData>
    <row r="1" spans="2:7" s="70" customFormat="1" ht="15" thickBot="1" x14ac:dyDescent="0.35"/>
    <row r="2" spans="2:7" ht="43.8" thickBot="1" x14ac:dyDescent="0.35">
      <c r="B2" s="101" t="s">
        <v>0</v>
      </c>
      <c r="C2" s="102" t="s">
        <v>142</v>
      </c>
      <c r="D2" s="102" t="s">
        <v>141</v>
      </c>
      <c r="E2" s="102" t="s">
        <v>140</v>
      </c>
      <c r="F2" s="102" t="s">
        <v>143</v>
      </c>
      <c r="G2" s="94" t="s">
        <v>102</v>
      </c>
    </row>
    <row r="3" spans="2:7" x14ac:dyDescent="0.3">
      <c r="B3" s="103" t="s">
        <v>32</v>
      </c>
      <c r="C3" s="100">
        <v>2</v>
      </c>
      <c r="D3" s="100">
        <v>2</v>
      </c>
      <c r="E3" s="100">
        <v>1</v>
      </c>
      <c r="F3" s="100">
        <v>1</v>
      </c>
      <c r="G3" s="104">
        <v>1</v>
      </c>
    </row>
    <row r="4" spans="2:7" x14ac:dyDescent="0.3">
      <c r="B4" s="105" t="s">
        <v>29</v>
      </c>
      <c r="C4" s="71">
        <v>2</v>
      </c>
      <c r="D4" s="71">
        <v>3</v>
      </c>
      <c r="E4" s="71">
        <v>1</v>
      </c>
      <c r="F4" s="71">
        <v>1</v>
      </c>
      <c r="G4" s="106">
        <v>1</v>
      </c>
    </row>
    <row r="5" spans="2:7" x14ac:dyDescent="0.3">
      <c r="B5" s="105" t="s">
        <v>30</v>
      </c>
      <c r="C5" s="71">
        <v>3</v>
      </c>
      <c r="D5" s="71">
        <v>3</v>
      </c>
      <c r="E5" s="71">
        <v>1</v>
      </c>
      <c r="F5" s="71">
        <v>2</v>
      </c>
      <c r="G5" s="106">
        <v>1</v>
      </c>
    </row>
    <row r="6" spans="2:7" x14ac:dyDescent="0.3">
      <c r="B6" s="105" t="s">
        <v>31</v>
      </c>
      <c r="C6" s="71">
        <v>2</v>
      </c>
      <c r="D6" s="71">
        <v>3</v>
      </c>
      <c r="E6" s="71">
        <v>1</v>
      </c>
      <c r="F6" s="71">
        <v>2</v>
      </c>
      <c r="G6" s="106">
        <v>1</v>
      </c>
    </row>
    <row r="7" spans="2:7" x14ac:dyDescent="0.3">
      <c r="B7" s="105" t="s">
        <v>33</v>
      </c>
      <c r="C7" s="71">
        <v>3</v>
      </c>
      <c r="D7" s="71">
        <v>3</v>
      </c>
      <c r="E7" s="71">
        <v>1</v>
      </c>
      <c r="F7" s="71">
        <v>2</v>
      </c>
      <c r="G7" s="106">
        <v>1</v>
      </c>
    </row>
    <row r="8" spans="2:7" x14ac:dyDescent="0.3">
      <c r="B8" s="105" t="s">
        <v>34</v>
      </c>
      <c r="C8" s="71">
        <v>3</v>
      </c>
      <c r="D8" s="71">
        <v>2</v>
      </c>
      <c r="E8" s="71">
        <v>1</v>
      </c>
      <c r="F8" s="71">
        <v>2</v>
      </c>
      <c r="G8" s="106">
        <v>1</v>
      </c>
    </row>
    <row r="9" spans="2:7" x14ac:dyDescent="0.3">
      <c r="B9" s="105" t="s">
        <v>35</v>
      </c>
      <c r="C9" s="71">
        <v>2</v>
      </c>
      <c r="D9" s="71">
        <v>3</v>
      </c>
      <c r="E9" s="71">
        <v>1</v>
      </c>
      <c r="F9" s="71">
        <v>2</v>
      </c>
      <c r="G9" s="106">
        <v>1</v>
      </c>
    </row>
    <row r="10" spans="2:7" x14ac:dyDescent="0.3">
      <c r="B10" s="105" t="s">
        <v>36</v>
      </c>
      <c r="C10" s="71">
        <v>3</v>
      </c>
      <c r="D10" s="71">
        <v>3</v>
      </c>
      <c r="E10" s="71">
        <v>1</v>
      </c>
      <c r="F10" s="71">
        <v>4</v>
      </c>
      <c r="G10" s="106">
        <v>1</v>
      </c>
    </row>
    <row r="11" spans="2:7" x14ac:dyDescent="0.3">
      <c r="B11" s="105" t="s">
        <v>37</v>
      </c>
      <c r="C11" s="71">
        <v>3</v>
      </c>
      <c r="D11" s="71">
        <v>3</v>
      </c>
      <c r="E11" s="71">
        <v>1</v>
      </c>
      <c r="F11" s="71">
        <v>3</v>
      </c>
      <c r="G11" s="106">
        <v>1</v>
      </c>
    </row>
    <row r="12" spans="2:7" x14ac:dyDescent="0.3">
      <c r="B12" s="105" t="s">
        <v>38</v>
      </c>
      <c r="C12" s="71">
        <v>2</v>
      </c>
      <c r="D12" s="71">
        <v>2</v>
      </c>
      <c r="E12" s="71">
        <v>1</v>
      </c>
      <c r="F12" s="71">
        <v>2</v>
      </c>
      <c r="G12" s="106">
        <v>2</v>
      </c>
    </row>
    <row r="13" spans="2:7" x14ac:dyDescent="0.3">
      <c r="B13" s="105" t="s">
        <v>39</v>
      </c>
      <c r="C13" s="71">
        <v>3</v>
      </c>
      <c r="D13" s="71">
        <v>2</v>
      </c>
      <c r="E13" s="71">
        <v>1</v>
      </c>
      <c r="F13" s="71">
        <v>4</v>
      </c>
      <c r="G13" s="106">
        <v>1</v>
      </c>
    </row>
    <row r="14" spans="2:7" x14ac:dyDescent="0.3">
      <c r="B14" s="105" t="s">
        <v>5</v>
      </c>
      <c r="C14" s="71">
        <v>1</v>
      </c>
      <c r="D14" s="71">
        <v>2</v>
      </c>
      <c r="E14" s="71">
        <v>1</v>
      </c>
      <c r="F14" s="71">
        <v>2</v>
      </c>
      <c r="G14" s="106">
        <v>2</v>
      </c>
    </row>
    <row r="15" spans="2:7" x14ac:dyDescent="0.3">
      <c r="B15" s="105" t="s">
        <v>27</v>
      </c>
      <c r="C15" s="71">
        <v>2</v>
      </c>
      <c r="D15" s="71">
        <v>3</v>
      </c>
      <c r="E15" s="71">
        <v>1</v>
      </c>
      <c r="F15" s="71">
        <v>2</v>
      </c>
      <c r="G15" s="106">
        <v>2</v>
      </c>
    </row>
    <row r="16" spans="2:7" x14ac:dyDescent="0.3">
      <c r="B16" s="105" t="s">
        <v>7</v>
      </c>
      <c r="C16" s="71">
        <v>2</v>
      </c>
      <c r="D16" s="71">
        <v>2</v>
      </c>
      <c r="E16" s="71">
        <v>1</v>
      </c>
      <c r="F16" s="71">
        <v>1</v>
      </c>
      <c r="G16" s="106">
        <v>2</v>
      </c>
    </row>
    <row r="17" spans="2:7" x14ac:dyDescent="0.3">
      <c r="B17" s="105" t="s">
        <v>10</v>
      </c>
      <c r="C17" s="71">
        <v>3</v>
      </c>
      <c r="D17" s="71">
        <v>2</v>
      </c>
      <c r="E17" s="71">
        <v>1</v>
      </c>
      <c r="F17" s="71">
        <v>2</v>
      </c>
      <c r="G17" s="106">
        <v>1</v>
      </c>
    </row>
    <row r="18" spans="2:7" x14ac:dyDescent="0.3">
      <c r="B18" s="105" t="s">
        <v>1</v>
      </c>
      <c r="C18" s="71">
        <v>2</v>
      </c>
      <c r="D18" s="71">
        <v>2</v>
      </c>
      <c r="E18" s="71">
        <v>1</v>
      </c>
      <c r="F18" s="71">
        <v>2</v>
      </c>
      <c r="G18" s="106">
        <v>2</v>
      </c>
    </row>
    <row r="19" spans="2:7" x14ac:dyDescent="0.3">
      <c r="B19" s="105" t="s">
        <v>9</v>
      </c>
      <c r="C19" s="71">
        <v>3</v>
      </c>
      <c r="D19" s="71">
        <v>3</v>
      </c>
      <c r="E19" s="71">
        <v>1</v>
      </c>
      <c r="F19" s="71">
        <v>3</v>
      </c>
      <c r="G19" s="106">
        <v>2</v>
      </c>
    </row>
    <row r="20" spans="2:7" x14ac:dyDescent="0.3">
      <c r="B20" s="105" t="s">
        <v>26</v>
      </c>
      <c r="C20" s="71">
        <v>4</v>
      </c>
      <c r="D20" s="71">
        <v>2</v>
      </c>
      <c r="E20" s="71">
        <v>1</v>
      </c>
      <c r="F20" s="71">
        <v>2</v>
      </c>
      <c r="G20" s="106">
        <v>2</v>
      </c>
    </row>
    <row r="21" spans="2:7" x14ac:dyDescent="0.3">
      <c r="B21" s="105" t="s">
        <v>25</v>
      </c>
      <c r="C21" s="71">
        <v>2</v>
      </c>
      <c r="D21" s="71">
        <v>2</v>
      </c>
      <c r="E21" s="71">
        <v>1</v>
      </c>
      <c r="F21" s="71">
        <v>2</v>
      </c>
      <c r="G21" s="106">
        <v>3</v>
      </c>
    </row>
    <row r="22" spans="2:7" x14ac:dyDescent="0.3">
      <c r="B22" s="105" t="s">
        <v>24</v>
      </c>
      <c r="C22" s="71">
        <v>1</v>
      </c>
      <c r="D22" s="71">
        <v>2</v>
      </c>
      <c r="E22" s="71">
        <v>1</v>
      </c>
      <c r="F22" s="71">
        <v>2</v>
      </c>
      <c r="G22" s="106">
        <v>1</v>
      </c>
    </row>
    <row r="23" spans="2:7" x14ac:dyDescent="0.3">
      <c r="B23" s="105" t="s">
        <v>23</v>
      </c>
      <c r="C23" s="71">
        <v>1</v>
      </c>
      <c r="D23" s="71">
        <v>1</v>
      </c>
      <c r="E23" s="71">
        <v>1</v>
      </c>
      <c r="F23" s="71">
        <v>3</v>
      </c>
      <c r="G23" s="106">
        <v>2</v>
      </c>
    </row>
    <row r="24" spans="2:7" x14ac:dyDescent="0.3">
      <c r="B24" s="105" t="s">
        <v>22</v>
      </c>
      <c r="C24" s="71">
        <v>2</v>
      </c>
      <c r="D24" s="71">
        <v>2</v>
      </c>
      <c r="E24" s="71">
        <v>1</v>
      </c>
      <c r="F24" s="71">
        <v>3</v>
      </c>
      <c r="G24" s="106">
        <v>2</v>
      </c>
    </row>
    <row r="25" spans="2:7" x14ac:dyDescent="0.3">
      <c r="B25" s="105" t="s">
        <v>21</v>
      </c>
      <c r="C25" s="71">
        <v>2</v>
      </c>
      <c r="D25" s="71">
        <v>1</v>
      </c>
      <c r="E25" s="71">
        <v>1</v>
      </c>
      <c r="F25" s="71">
        <v>3</v>
      </c>
      <c r="G25" s="106">
        <v>2</v>
      </c>
    </row>
    <row r="26" spans="2:7" x14ac:dyDescent="0.3">
      <c r="B26" s="105" t="s">
        <v>20</v>
      </c>
      <c r="C26" s="71">
        <v>2</v>
      </c>
      <c r="D26" s="71">
        <v>1</v>
      </c>
      <c r="E26" s="71">
        <v>1</v>
      </c>
      <c r="F26" s="71">
        <v>3</v>
      </c>
      <c r="G26" s="106">
        <v>2</v>
      </c>
    </row>
    <row r="27" spans="2:7" x14ac:dyDescent="0.3">
      <c r="B27" s="105" t="s">
        <v>19</v>
      </c>
      <c r="C27" s="71">
        <v>1</v>
      </c>
      <c r="D27" s="71">
        <v>1</v>
      </c>
      <c r="E27" s="71">
        <v>1</v>
      </c>
      <c r="F27" s="71">
        <v>2</v>
      </c>
      <c r="G27" s="106">
        <v>2</v>
      </c>
    </row>
    <row r="28" spans="2:7" x14ac:dyDescent="0.3">
      <c r="B28" s="105" t="s">
        <v>18</v>
      </c>
      <c r="C28" s="71">
        <v>2</v>
      </c>
      <c r="D28" s="71">
        <v>2</v>
      </c>
      <c r="E28" s="71">
        <v>1</v>
      </c>
      <c r="F28" s="71">
        <v>2</v>
      </c>
      <c r="G28" s="106">
        <v>3</v>
      </c>
    </row>
    <row r="29" spans="2:7" x14ac:dyDescent="0.3">
      <c r="B29" s="105" t="s">
        <v>17</v>
      </c>
      <c r="C29" s="71">
        <v>2</v>
      </c>
      <c r="D29" s="71">
        <v>2</v>
      </c>
      <c r="E29" s="71">
        <v>1</v>
      </c>
      <c r="F29" s="71">
        <v>2</v>
      </c>
      <c r="G29" s="106">
        <v>3</v>
      </c>
    </row>
    <row r="30" spans="2:7" x14ac:dyDescent="0.3">
      <c r="B30" s="105" t="s">
        <v>16</v>
      </c>
      <c r="C30" s="71">
        <v>2</v>
      </c>
      <c r="D30" s="71">
        <v>3</v>
      </c>
      <c r="E30" s="71">
        <v>1</v>
      </c>
      <c r="F30" s="71">
        <v>2</v>
      </c>
      <c r="G30" s="106">
        <v>2</v>
      </c>
    </row>
    <row r="31" spans="2:7" x14ac:dyDescent="0.3">
      <c r="B31" s="105" t="s">
        <v>15</v>
      </c>
      <c r="C31" s="71">
        <v>2</v>
      </c>
      <c r="D31" s="71">
        <v>2</v>
      </c>
      <c r="E31" s="71">
        <v>1</v>
      </c>
      <c r="F31" s="71">
        <v>2</v>
      </c>
      <c r="G31" s="106">
        <v>2</v>
      </c>
    </row>
    <row r="32" spans="2:7" x14ac:dyDescent="0.3">
      <c r="B32" s="105" t="s">
        <v>3</v>
      </c>
      <c r="C32" s="71">
        <v>1</v>
      </c>
      <c r="D32" s="71">
        <v>2</v>
      </c>
      <c r="E32" s="71">
        <v>1</v>
      </c>
      <c r="F32" s="71">
        <v>2</v>
      </c>
      <c r="G32" s="106">
        <v>2</v>
      </c>
    </row>
    <row r="33" spans="2:7" x14ac:dyDescent="0.3">
      <c r="B33" s="105" t="s">
        <v>2</v>
      </c>
      <c r="C33" s="71">
        <v>2</v>
      </c>
      <c r="D33" s="71">
        <v>2</v>
      </c>
      <c r="E33" s="71">
        <v>1</v>
      </c>
      <c r="F33" s="71">
        <v>2</v>
      </c>
      <c r="G33" s="106">
        <v>3</v>
      </c>
    </row>
    <row r="34" spans="2:7" x14ac:dyDescent="0.3">
      <c r="B34" s="105" t="s">
        <v>14</v>
      </c>
      <c r="C34" s="71">
        <v>2</v>
      </c>
      <c r="D34" s="71">
        <v>3</v>
      </c>
      <c r="E34" s="71">
        <v>1</v>
      </c>
      <c r="F34" s="71">
        <v>1</v>
      </c>
      <c r="G34" s="106">
        <v>3</v>
      </c>
    </row>
    <row r="35" spans="2:7" x14ac:dyDescent="0.3">
      <c r="B35" s="105" t="s">
        <v>13</v>
      </c>
      <c r="C35" s="71">
        <v>4</v>
      </c>
      <c r="D35" s="71">
        <v>3</v>
      </c>
      <c r="E35" s="71">
        <v>1</v>
      </c>
      <c r="F35" s="71">
        <v>4</v>
      </c>
      <c r="G35" s="106">
        <v>3</v>
      </c>
    </row>
    <row r="36" spans="2:7" x14ac:dyDescent="0.3">
      <c r="B36" s="105" t="s">
        <v>12</v>
      </c>
      <c r="C36" s="71">
        <v>2</v>
      </c>
      <c r="D36" s="71">
        <v>2</v>
      </c>
      <c r="E36" s="71">
        <v>1</v>
      </c>
      <c r="F36" s="71">
        <v>2</v>
      </c>
      <c r="G36" s="106">
        <v>3</v>
      </c>
    </row>
    <row r="37" spans="2:7" x14ac:dyDescent="0.3">
      <c r="B37" s="105" t="s">
        <v>11</v>
      </c>
      <c r="C37" s="71">
        <v>3</v>
      </c>
      <c r="D37" s="71">
        <v>3</v>
      </c>
      <c r="E37" s="71">
        <v>1</v>
      </c>
      <c r="F37" s="71">
        <v>2</v>
      </c>
      <c r="G37" s="106">
        <v>3</v>
      </c>
    </row>
    <row r="38" spans="2:7" x14ac:dyDescent="0.3">
      <c r="B38" s="105" t="s">
        <v>8</v>
      </c>
      <c r="C38" s="71">
        <v>1</v>
      </c>
      <c r="D38" s="71">
        <v>1</v>
      </c>
      <c r="E38" s="71">
        <v>1</v>
      </c>
      <c r="F38" s="71">
        <v>1</v>
      </c>
      <c r="G38" s="106">
        <v>2</v>
      </c>
    </row>
    <row r="39" spans="2:7" x14ac:dyDescent="0.3">
      <c r="B39" s="105" t="s">
        <v>6</v>
      </c>
      <c r="C39" s="71">
        <v>2</v>
      </c>
      <c r="D39" s="71">
        <v>2</v>
      </c>
      <c r="E39" s="71">
        <v>1</v>
      </c>
      <c r="F39" s="71">
        <v>2</v>
      </c>
      <c r="G39" s="106">
        <v>3</v>
      </c>
    </row>
    <row r="40" spans="2:7" x14ac:dyDescent="0.3">
      <c r="B40" s="105" t="s">
        <v>4</v>
      </c>
      <c r="C40" s="71">
        <v>2</v>
      </c>
      <c r="D40" s="71">
        <v>1</v>
      </c>
      <c r="E40" s="71">
        <v>1</v>
      </c>
      <c r="F40" s="71">
        <v>2</v>
      </c>
      <c r="G40" s="106">
        <v>3</v>
      </c>
    </row>
    <row r="41" spans="2:7" ht="15" thickBot="1" x14ac:dyDescent="0.35">
      <c r="B41" s="107" t="s">
        <v>28</v>
      </c>
      <c r="C41" s="108">
        <v>2</v>
      </c>
      <c r="D41" s="108">
        <v>2</v>
      </c>
      <c r="E41" s="108">
        <v>1</v>
      </c>
      <c r="F41" s="108">
        <v>2</v>
      </c>
      <c r="G41" s="109">
        <v>2</v>
      </c>
    </row>
    <row r="42" spans="2:7" x14ac:dyDescent="0.3">
      <c r="B42" s="76"/>
      <c r="C42" s="76"/>
      <c r="D42" s="76"/>
      <c r="E42" s="76"/>
      <c r="F42" s="76"/>
      <c r="G42" s="76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99143-24AF-4600-A71C-02738B71C1E0}">
  <dimension ref="A1:T67"/>
  <sheetViews>
    <sheetView defaultGridColor="0" colorId="9" zoomScale="70" zoomScaleNormal="70" workbookViewId="0"/>
  </sheetViews>
  <sheetFormatPr baseColWidth="10" defaultColWidth="0" defaultRowHeight="14.4" zeroHeight="1" x14ac:dyDescent="0.3"/>
  <cols>
    <col min="1" max="1" width="11.5546875" customWidth="1"/>
    <col min="2" max="2" width="50.21875" bestFit="1" customWidth="1"/>
    <col min="3" max="3" width="61.6640625" bestFit="1" customWidth="1"/>
    <col min="4" max="20" width="11.5546875" customWidth="1"/>
    <col min="21" max="16384" width="11.5546875" hidden="1"/>
  </cols>
  <sheetData>
    <row r="1" spans="2:8" ht="15" thickBot="1" x14ac:dyDescent="0.35"/>
    <row r="2" spans="2:8" x14ac:dyDescent="0.3">
      <c r="B2" s="130" t="s">
        <v>142</v>
      </c>
      <c r="C2" s="131"/>
      <c r="D2" s="131"/>
      <c r="E2" s="131"/>
      <c r="F2" s="132"/>
    </row>
    <row r="3" spans="2:8" ht="15" thickBot="1" x14ac:dyDescent="0.35">
      <c r="B3" s="61" t="s">
        <v>40</v>
      </c>
      <c r="C3" s="62" t="s">
        <v>43</v>
      </c>
      <c r="D3" s="62" t="s">
        <v>41</v>
      </c>
      <c r="E3" s="62" t="s">
        <v>42</v>
      </c>
      <c r="F3" s="63" t="s">
        <v>128</v>
      </c>
    </row>
    <row r="4" spans="2:8" ht="28.8" x14ac:dyDescent="0.3">
      <c r="B4" s="57" t="s">
        <v>111</v>
      </c>
      <c r="C4" s="58"/>
      <c r="D4" s="58">
        <v>0</v>
      </c>
      <c r="E4" s="59">
        <f>COUNTIF('1. Dataset B'!C2:C40, "&lt;0.5")</f>
        <v>2</v>
      </c>
      <c r="F4" s="60">
        <f>E4/SUM(E$4:E$8)</f>
        <v>5.128205128205128E-2</v>
      </c>
    </row>
    <row r="5" spans="2:8" ht="28.8" x14ac:dyDescent="0.3">
      <c r="B5" s="50" t="s">
        <v>112</v>
      </c>
      <c r="C5" s="48" t="s">
        <v>88</v>
      </c>
      <c r="D5" s="48">
        <v>1</v>
      </c>
      <c r="E5" s="49">
        <f>COUNTIF('1. Dataset B'!C2:C40, "&lt;1.5")-E4</f>
        <v>12</v>
      </c>
      <c r="F5" s="51">
        <f t="shared" ref="F5:F8" si="0">E5/SUM(E$4:E$8)</f>
        <v>0.30769230769230771</v>
      </c>
    </row>
    <row r="6" spans="2:8" ht="28.8" x14ac:dyDescent="0.3">
      <c r="B6" s="50" t="s">
        <v>108</v>
      </c>
      <c r="C6" s="48" t="s">
        <v>89</v>
      </c>
      <c r="D6" s="48">
        <v>2</v>
      </c>
      <c r="E6" s="49">
        <f>COUNTIF('1. Dataset B'!C2:C40, "&lt;2.5")-E5-E4</f>
        <v>17</v>
      </c>
      <c r="F6" s="51">
        <f t="shared" si="0"/>
        <v>0.4358974358974359</v>
      </c>
    </row>
    <row r="7" spans="2:8" ht="28.8" x14ac:dyDescent="0.3">
      <c r="B7" s="50" t="s">
        <v>109</v>
      </c>
      <c r="C7" s="48"/>
      <c r="D7" s="48">
        <v>3</v>
      </c>
      <c r="E7" s="49">
        <f>COUNTIF('1. Dataset B'!C2:C40, "&lt;3.5")-E6-E5-E4</f>
        <v>5</v>
      </c>
      <c r="F7" s="51">
        <f t="shared" si="0"/>
        <v>0.12820512820512819</v>
      </c>
    </row>
    <row r="8" spans="2:8" ht="29.4" thickBot="1" x14ac:dyDescent="0.35">
      <c r="B8" s="52" t="s">
        <v>110</v>
      </c>
      <c r="C8" s="53" t="s">
        <v>90</v>
      </c>
      <c r="D8" s="54">
        <v>4</v>
      </c>
      <c r="E8" s="55">
        <f>COUNTIF('1. Dataset B'!C2:C40, "&lt;4.5")-E7-E6-E5-E4</f>
        <v>3</v>
      </c>
      <c r="F8" s="56">
        <f t="shared" si="0"/>
        <v>7.6923076923076927E-2</v>
      </c>
      <c r="H8" s="9"/>
    </row>
    <row r="9" spans="2:8" ht="15" thickBot="1" x14ac:dyDescent="0.35">
      <c r="E9" s="1"/>
      <c r="F9" s="9"/>
      <c r="H9" s="9"/>
    </row>
    <row r="10" spans="2:8" x14ac:dyDescent="0.3">
      <c r="B10" s="130" t="s">
        <v>105</v>
      </c>
      <c r="C10" s="131"/>
      <c r="D10" s="131"/>
      <c r="E10" s="131"/>
      <c r="F10" s="132"/>
      <c r="H10" s="9"/>
    </row>
    <row r="11" spans="2:8" ht="15" thickBot="1" x14ac:dyDescent="0.35">
      <c r="B11" s="61" t="s">
        <v>40</v>
      </c>
      <c r="C11" s="62" t="s">
        <v>43</v>
      </c>
      <c r="D11" s="62" t="s">
        <v>41</v>
      </c>
      <c r="E11" s="62" t="s">
        <v>42</v>
      </c>
      <c r="F11" s="63" t="s">
        <v>128</v>
      </c>
      <c r="H11" s="9"/>
    </row>
    <row r="12" spans="2:8" x14ac:dyDescent="0.3">
      <c r="B12" s="68" t="s">
        <v>129</v>
      </c>
      <c r="C12" s="58"/>
      <c r="D12" s="58"/>
      <c r="E12" s="58">
        <f>COUNTIF('1. Dataset B'!E2:E40, "&lt;=100")</f>
        <v>19</v>
      </c>
      <c r="F12" s="60">
        <f>E12/SUM(E$12:E$17)</f>
        <v>0.48717948717948717</v>
      </c>
      <c r="H12" s="9"/>
    </row>
    <row r="13" spans="2:8" x14ac:dyDescent="0.3">
      <c r="B13" s="64" t="s">
        <v>130</v>
      </c>
      <c r="C13" s="48"/>
      <c r="D13" s="48"/>
      <c r="E13" s="49">
        <f>COUNTIF('1. Dataset B'!E2:E40, "&lt;=200")-E12</f>
        <v>3</v>
      </c>
      <c r="F13" s="51">
        <f t="shared" ref="F13:F17" si="1">E13/SUM(E$12:E$17)</f>
        <v>7.6923076923076927E-2</v>
      </c>
      <c r="H13" s="9"/>
    </row>
    <row r="14" spans="2:8" x14ac:dyDescent="0.3">
      <c r="B14" s="64" t="s">
        <v>131</v>
      </c>
      <c r="C14" s="48"/>
      <c r="D14" s="48"/>
      <c r="E14" s="49">
        <f>COUNTIF('1. Dataset B'!E2:E40, "&lt;=300")-E12-E13</f>
        <v>6</v>
      </c>
      <c r="F14" s="51">
        <f t="shared" si="1"/>
        <v>0.15384615384615385</v>
      </c>
    </row>
    <row r="15" spans="2:8" x14ac:dyDescent="0.3">
      <c r="B15" s="64" t="s">
        <v>132</v>
      </c>
      <c r="C15" s="48"/>
      <c r="D15" s="48"/>
      <c r="E15" s="49">
        <f>COUNTIF('1. Dataset B'!E2:E40, "&lt;=400")-E12-E13-E14</f>
        <v>3</v>
      </c>
      <c r="F15" s="51">
        <f t="shared" si="1"/>
        <v>7.6923076923076927E-2</v>
      </c>
    </row>
    <row r="16" spans="2:8" x14ac:dyDescent="0.3">
      <c r="B16" s="64" t="s">
        <v>133</v>
      </c>
      <c r="C16" s="48"/>
      <c r="D16" s="48"/>
      <c r="E16" s="49">
        <f>COUNTIF('1. Dataset B'!E2:E40, "&lt;=500")-E12-E13-E14-E15</f>
        <v>4</v>
      </c>
      <c r="F16" s="51">
        <f t="shared" si="1"/>
        <v>0.10256410256410256</v>
      </c>
    </row>
    <row r="17" spans="2:6" ht="15" thickBot="1" x14ac:dyDescent="0.35">
      <c r="B17" s="65" t="s">
        <v>134</v>
      </c>
      <c r="C17" s="54"/>
      <c r="D17" s="54"/>
      <c r="E17" s="54">
        <f>COUNTIF('1. Dataset B'!E2:E40, "&gt;500")</f>
        <v>4</v>
      </c>
      <c r="F17" s="56">
        <f t="shared" si="1"/>
        <v>0.10256410256410256</v>
      </c>
    </row>
    <row r="18" spans="2:6" ht="15" thickBot="1" x14ac:dyDescent="0.35">
      <c r="E18" s="1"/>
      <c r="F18" s="8"/>
    </row>
    <row r="19" spans="2:6" x14ac:dyDescent="0.3">
      <c r="B19" s="130" t="s">
        <v>141</v>
      </c>
      <c r="C19" s="131"/>
      <c r="D19" s="131"/>
      <c r="E19" s="131"/>
      <c r="F19" s="132"/>
    </row>
    <row r="20" spans="2:6" ht="15" thickBot="1" x14ac:dyDescent="0.35">
      <c r="B20" s="61" t="s">
        <v>40</v>
      </c>
      <c r="C20" s="62" t="s">
        <v>43</v>
      </c>
      <c r="D20" s="62" t="s">
        <v>41</v>
      </c>
      <c r="E20" s="62" t="s">
        <v>42</v>
      </c>
      <c r="F20" s="63" t="s">
        <v>128</v>
      </c>
    </row>
    <row r="21" spans="2:6" ht="28.8" x14ac:dyDescent="0.3">
      <c r="B21" s="57" t="s">
        <v>111</v>
      </c>
      <c r="C21" s="58"/>
      <c r="D21" s="58">
        <v>0</v>
      </c>
      <c r="E21" s="58">
        <f>COUNTIF('1. Dataset B'!I$2:I$40, "&lt;0.5")</f>
        <v>3</v>
      </c>
      <c r="F21" s="60">
        <f>E21/SUM(E$21:E$24)</f>
        <v>7.6923076923076927E-2</v>
      </c>
    </row>
    <row r="22" spans="2:6" ht="28.8" x14ac:dyDescent="0.3">
      <c r="B22" s="50" t="s">
        <v>113</v>
      </c>
      <c r="C22" s="48"/>
      <c r="D22" s="48">
        <v>1</v>
      </c>
      <c r="E22" s="48">
        <f>COUNTIF('1. Dataset B'!I$2:I$40, "&lt;1.5")-E21</f>
        <v>11</v>
      </c>
      <c r="F22" s="51">
        <f t="shared" ref="F22:F24" si="2">E22/SUM(E$21:E$24)</f>
        <v>0.28205128205128205</v>
      </c>
    </row>
    <row r="23" spans="2:6" ht="28.8" x14ac:dyDescent="0.3">
      <c r="B23" s="50" t="s">
        <v>114</v>
      </c>
      <c r="C23" s="48"/>
      <c r="D23" s="48">
        <v>2</v>
      </c>
      <c r="E23" s="48">
        <f>COUNTIF('1. Dataset B'!I$2:I$40, "&lt;2.5")-E22-E21</f>
        <v>19</v>
      </c>
      <c r="F23" s="51">
        <f t="shared" si="2"/>
        <v>0.48717948717948717</v>
      </c>
    </row>
    <row r="24" spans="2:6" ht="29.4" thickBot="1" x14ac:dyDescent="0.35">
      <c r="B24" s="52" t="s">
        <v>115</v>
      </c>
      <c r="C24" s="54"/>
      <c r="D24" s="54">
        <v>3</v>
      </c>
      <c r="E24" s="54">
        <f>COUNTIF('1. Dataset B'!I$2:I$40, "&lt;3.5")-E23-E22-E21</f>
        <v>6</v>
      </c>
      <c r="F24" s="56">
        <f t="shared" si="2"/>
        <v>0.15384615384615385</v>
      </c>
    </row>
    <row r="25" spans="2:6" ht="15" thickBot="1" x14ac:dyDescent="0.35">
      <c r="E25" s="1"/>
      <c r="F25" s="1"/>
    </row>
    <row r="26" spans="2:6" x14ac:dyDescent="0.3">
      <c r="B26" s="130" t="s">
        <v>140</v>
      </c>
      <c r="C26" s="131"/>
      <c r="D26" s="131"/>
      <c r="E26" s="131"/>
      <c r="F26" s="132"/>
    </row>
    <row r="27" spans="2:6" ht="15" thickBot="1" x14ac:dyDescent="0.35">
      <c r="B27" s="61" t="s">
        <v>40</v>
      </c>
      <c r="C27" s="62" t="s">
        <v>43</v>
      </c>
      <c r="D27" s="62" t="s">
        <v>41</v>
      </c>
      <c r="E27" s="62" t="s">
        <v>42</v>
      </c>
      <c r="F27" s="63" t="s">
        <v>128</v>
      </c>
    </row>
    <row r="28" spans="2:6" ht="28.8" x14ac:dyDescent="0.3">
      <c r="B28" s="57" t="s">
        <v>144</v>
      </c>
      <c r="C28" s="58"/>
      <c r="D28" s="58">
        <v>0</v>
      </c>
      <c r="E28" s="58">
        <f>COUNTIF('1. Dataset B'!K$2:K$40, "&lt;0.5")</f>
        <v>1</v>
      </c>
      <c r="F28" s="60">
        <f>E28/SUM(E$28:E$31)</f>
        <v>2.564102564102564E-2</v>
      </c>
    </row>
    <row r="29" spans="2:6" ht="28.8" x14ac:dyDescent="0.3">
      <c r="B29" s="50" t="s">
        <v>145</v>
      </c>
      <c r="C29" s="48"/>
      <c r="D29" s="48">
        <v>1</v>
      </c>
      <c r="E29" s="49">
        <f>COUNTIF('1. Dataset B'!K$2:K$40, "&lt;1.5")-E28</f>
        <v>37</v>
      </c>
      <c r="F29" s="51">
        <f t="shared" ref="F29:F31" si="3">E29/SUM(E$28:E$31)</f>
        <v>0.94871794871794868</v>
      </c>
    </row>
    <row r="30" spans="2:6" ht="28.8" x14ac:dyDescent="0.3">
      <c r="B30" s="50" t="s">
        <v>146</v>
      </c>
      <c r="C30" s="48"/>
      <c r="D30" s="48">
        <v>2</v>
      </c>
      <c r="E30" s="49">
        <f>COUNTIF('1. Dataset B'!K$2:K$40, "&lt;2.5")-E29-E28</f>
        <v>1</v>
      </c>
      <c r="F30" s="51">
        <f t="shared" si="3"/>
        <v>2.564102564102564E-2</v>
      </c>
    </row>
    <row r="31" spans="2:6" ht="29.4" thickBot="1" x14ac:dyDescent="0.35">
      <c r="B31" s="52" t="s">
        <v>147</v>
      </c>
      <c r="C31" s="54"/>
      <c r="D31" s="54">
        <v>3</v>
      </c>
      <c r="E31" s="55">
        <f>COUNTIF('1. Dataset B'!K$2:K$40, "&lt;3.5")-E30-E29-E28</f>
        <v>0</v>
      </c>
      <c r="F31" s="56">
        <f t="shared" si="3"/>
        <v>0</v>
      </c>
    </row>
    <row r="32" spans="2:6" ht="15" thickBot="1" x14ac:dyDescent="0.35">
      <c r="E32" s="1"/>
      <c r="F32" s="1"/>
    </row>
    <row r="33" spans="2:6" x14ac:dyDescent="0.3">
      <c r="B33" s="130" t="s">
        <v>139</v>
      </c>
      <c r="C33" s="131"/>
      <c r="D33" s="131"/>
      <c r="E33" s="131"/>
      <c r="F33" s="132"/>
    </row>
    <row r="34" spans="2:6" ht="15" thickBot="1" x14ac:dyDescent="0.35">
      <c r="B34" s="61" t="s">
        <v>40</v>
      </c>
      <c r="C34" s="62" t="s">
        <v>43</v>
      </c>
      <c r="D34" s="62" t="s">
        <v>41</v>
      </c>
      <c r="E34" s="62" t="s">
        <v>42</v>
      </c>
      <c r="F34" s="63" t="s">
        <v>128</v>
      </c>
    </row>
    <row r="35" spans="2:6" x14ac:dyDescent="0.3">
      <c r="B35" s="68" t="s">
        <v>97</v>
      </c>
      <c r="C35" s="58"/>
      <c r="D35" s="58"/>
      <c r="E35" s="59">
        <f>COUNTIF('1. Dataset B'!M2:M40, "&lt;=0.5")</f>
        <v>1</v>
      </c>
      <c r="F35" s="60">
        <f>E35/SUM(E$35:E$40)</f>
        <v>2.564102564102564E-2</v>
      </c>
    </row>
    <row r="36" spans="2:6" x14ac:dyDescent="0.3">
      <c r="B36" s="64" t="s">
        <v>93</v>
      </c>
      <c r="C36" s="48"/>
      <c r="D36" s="48"/>
      <c r="E36" s="49">
        <f>COUNTIF('1. Dataset B'!M2:M40, "&lt;=0.75")-E35</f>
        <v>3</v>
      </c>
      <c r="F36" s="51">
        <f t="shared" ref="F36:F40" si="4">E36/SUM(E$35:E$40)</f>
        <v>7.6923076923076927E-2</v>
      </c>
    </row>
    <row r="37" spans="2:6" x14ac:dyDescent="0.3">
      <c r="B37" s="64" t="s">
        <v>94</v>
      </c>
      <c r="C37" s="48"/>
      <c r="D37" s="48"/>
      <c r="E37" s="49">
        <f>COUNTIF('1. Dataset B'!M2:M40, "&lt;=1")-E35-E36</f>
        <v>7</v>
      </c>
      <c r="F37" s="51">
        <f t="shared" si="4"/>
        <v>0.17948717948717949</v>
      </c>
    </row>
    <row r="38" spans="2:6" x14ac:dyDescent="0.3">
      <c r="B38" s="64" t="s">
        <v>95</v>
      </c>
      <c r="C38" s="48"/>
      <c r="D38" s="48"/>
      <c r="E38" s="49">
        <f>COUNTIF('1. Dataset B'!M2:M40, "&lt;=1.25")-E35-E36-E37</f>
        <v>14</v>
      </c>
      <c r="F38" s="51">
        <f t="shared" si="4"/>
        <v>0.35897435897435898</v>
      </c>
    </row>
    <row r="39" spans="2:6" x14ac:dyDescent="0.3">
      <c r="B39" s="64" t="s">
        <v>96</v>
      </c>
      <c r="C39" s="48"/>
      <c r="D39" s="48"/>
      <c r="E39" s="49">
        <f>COUNTIF('1. Dataset B'!M2:M40, "&lt;=1.5")-E35-E36-E37-E38</f>
        <v>10</v>
      </c>
      <c r="F39" s="51">
        <f t="shared" si="4"/>
        <v>0.25641025641025639</v>
      </c>
    </row>
    <row r="40" spans="2:6" ht="15" thickBot="1" x14ac:dyDescent="0.35">
      <c r="B40" s="66" t="s">
        <v>98</v>
      </c>
      <c r="C40" s="54"/>
      <c r="D40" s="54"/>
      <c r="E40" s="54">
        <f>COUNTIF('1. Dataset B'!M2:M40, "&gt;1.5")</f>
        <v>4</v>
      </c>
      <c r="F40" s="56">
        <f t="shared" si="4"/>
        <v>0.10256410256410256</v>
      </c>
    </row>
    <row r="41" spans="2:6" ht="15" thickBot="1" x14ac:dyDescent="0.35">
      <c r="E41" s="1"/>
      <c r="F41" s="1"/>
    </row>
    <row r="42" spans="2:6" x14ac:dyDescent="0.3">
      <c r="B42" s="130" t="s">
        <v>104</v>
      </c>
      <c r="C42" s="131"/>
      <c r="D42" s="131"/>
      <c r="E42" s="131"/>
      <c r="F42" s="132"/>
    </row>
    <row r="43" spans="2:6" ht="15" thickBot="1" x14ac:dyDescent="0.35">
      <c r="B43" s="61" t="s">
        <v>40</v>
      </c>
      <c r="C43" s="62" t="s">
        <v>43</v>
      </c>
      <c r="D43" s="62" t="s">
        <v>41</v>
      </c>
      <c r="E43" s="62" t="s">
        <v>42</v>
      </c>
      <c r="F43" s="63" t="s">
        <v>128</v>
      </c>
    </row>
    <row r="44" spans="2:6" x14ac:dyDescent="0.3">
      <c r="B44" s="68" t="s">
        <v>97</v>
      </c>
      <c r="C44" s="58"/>
      <c r="D44" s="58"/>
      <c r="E44" s="59">
        <f>COUNTIF('1. Dataset B'!O2:O40, "&lt;=0.5")</f>
        <v>9</v>
      </c>
      <c r="F44" s="60">
        <f>E44/SUM(E$44:E$49)</f>
        <v>0.23076923076923078</v>
      </c>
    </row>
    <row r="45" spans="2:6" x14ac:dyDescent="0.3">
      <c r="B45" s="64" t="s">
        <v>93</v>
      </c>
      <c r="C45" s="48"/>
      <c r="D45" s="48"/>
      <c r="E45" s="49">
        <f>COUNTIF('1. Dataset B'!O2:O40, "&lt;=0.75")-E44</f>
        <v>10</v>
      </c>
      <c r="F45" s="51">
        <f t="shared" ref="F45:F49" si="5">E45/SUM(E$44:E$49)</f>
        <v>0.25641025641025639</v>
      </c>
    </row>
    <row r="46" spans="2:6" x14ac:dyDescent="0.3">
      <c r="B46" s="64" t="s">
        <v>94</v>
      </c>
      <c r="C46" s="48"/>
      <c r="D46" s="48"/>
      <c r="E46" s="49">
        <f>COUNTIF('1. Dataset B'!O2:O40, "&lt;=1")-E44-E45</f>
        <v>7</v>
      </c>
      <c r="F46" s="51">
        <f t="shared" si="5"/>
        <v>0.17948717948717949</v>
      </c>
    </row>
    <row r="47" spans="2:6" x14ac:dyDescent="0.3">
      <c r="B47" s="64" t="s">
        <v>95</v>
      </c>
      <c r="C47" s="48"/>
      <c r="D47" s="48"/>
      <c r="E47" s="49">
        <f>COUNTIF('1. Dataset B'!O2:O40, "&lt;=1.25")-E44-E45-E46</f>
        <v>12</v>
      </c>
      <c r="F47" s="51">
        <f t="shared" si="5"/>
        <v>0.30769230769230771</v>
      </c>
    </row>
    <row r="48" spans="2:6" x14ac:dyDescent="0.3">
      <c r="B48" s="64" t="s">
        <v>96</v>
      </c>
      <c r="C48" s="48"/>
      <c r="D48" s="48"/>
      <c r="E48" s="49">
        <f>COUNTIF('1. Dataset B'!O2:O40, "&lt;=1.5")-E44-E45-E46-E47</f>
        <v>1</v>
      </c>
      <c r="F48" s="51">
        <f t="shared" si="5"/>
        <v>2.564102564102564E-2</v>
      </c>
    </row>
    <row r="49" spans="2:6" ht="15" thickBot="1" x14ac:dyDescent="0.35">
      <c r="B49" s="66" t="s">
        <v>98</v>
      </c>
      <c r="C49" s="54"/>
      <c r="D49" s="54"/>
      <c r="E49" s="54">
        <f>COUNTIF('1. Dataset B'!O2:O40, "&gt;1.5")</f>
        <v>0</v>
      </c>
      <c r="F49" s="56">
        <f t="shared" si="5"/>
        <v>0</v>
      </c>
    </row>
    <row r="50" spans="2:6" ht="15" thickBot="1" x14ac:dyDescent="0.35">
      <c r="E50" s="1"/>
      <c r="F50" s="1"/>
    </row>
    <row r="51" spans="2:6" x14ac:dyDescent="0.3">
      <c r="B51" s="130" t="s">
        <v>143</v>
      </c>
      <c r="C51" s="131"/>
      <c r="D51" s="131"/>
      <c r="E51" s="131"/>
      <c r="F51" s="132"/>
    </row>
    <row r="52" spans="2:6" ht="15" thickBot="1" x14ac:dyDescent="0.35">
      <c r="B52" s="61" t="s">
        <v>40</v>
      </c>
      <c r="C52" s="62" t="s">
        <v>43</v>
      </c>
      <c r="D52" s="62" t="s">
        <v>41</v>
      </c>
      <c r="E52" s="62" t="s">
        <v>42</v>
      </c>
      <c r="F52" s="63" t="s">
        <v>128</v>
      </c>
    </row>
    <row r="53" spans="2:6" ht="28.8" x14ac:dyDescent="0.3">
      <c r="B53" s="57" t="s">
        <v>111</v>
      </c>
      <c r="C53" s="58"/>
      <c r="D53" s="58">
        <v>0</v>
      </c>
      <c r="E53" s="59">
        <f>COUNTIF('1. Dataset B'!Q$2:Q$40, "&lt;0.5")</f>
        <v>0</v>
      </c>
      <c r="F53" s="60">
        <f>E53/SUM(E$53:E$58)</f>
        <v>0</v>
      </c>
    </row>
    <row r="54" spans="2:6" ht="28.8" x14ac:dyDescent="0.3">
      <c r="B54" s="50" t="s">
        <v>116</v>
      </c>
      <c r="C54" s="48" t="s">
        <v>82</v>
      </c>
      <c r="D54" s="48">
        <v>1</v>
      </c>
      <c r="E54" s="49">
        <f>COUNTIF('1. Dataset B'!Q$2:Q$40, "&lt;1.5")-E53</f>
        <v>6</v>
      </c>
      <c r="F54" s="51">
        <f t="shared" ref="F54:F58" si="6">E54/SUM(E$53:E$58)</f>
        <v>0.15384615384615385</v>
      </c>
    </row>
    <row r="55" spans="2:6" ht="28.8" x14ac:dyDescent="0.3">
      <c r="B55" s="50" t="s">
        <v>108</v>
      </c>
      <c r="C55" s="48" t="s">
        <v>92</v>
      </c>
      <c r="D55" s="48">
        <v>2</v>
      </c>
      <c r="E55" s="49">
        <f>COUNTIF('1. Dataset B'!Q$2:Q$40, "&lt;2.5")-E54-E53</f>
        <v>24</v>
      </c>
      <c r="F55" s="51">
        <f t="shared" si="6"/>
        <v>0.61538461538461542</v>
      </c>
    </row>
    <row r="56" spans="2:6" ht="28.8" x14ac:dyDescent="0.3">
      <c r="B56" s="50" t="s">
        <v>109</v>
      </c>
      <c r="C56" s="48" t="s">
        <v>83</v>
      </c>
      <c r="D56" s="48">
        <v>3</v>
      </c>
      <c r="E56" s="49">
        <f>COUNTIF('1. Dataset B'!Q$2:Q$40, "&lt;3.5")-E55-E54-E53</f>
        <v>7</v>
      </c>
      <c r="F56" s="51">
        <f t="shared" si="6"/>
        <v>0.17948717948717949</v>
      </c>
    </row>
    <row r="57" spans="2:6" ht="28.8" x14ac:dyDescent="0.3">
      <c r="B57" s="50" t="s">
        <v>110</v>
      </c>
      <c r="C57" s="48" t="s">
        <v>84</v>
      </c>
      <c r="D57" s="48">
        <v>4</v>
      </c>
      <c r="E57" s="49">
        <f>COUNTIF('1. Dataset B'!Q$2:Q$40, "&lt;4.5")-E56-E55-E54-E53</f>
        <v>2</v>
      </c>
      <c r="F57" s="51">
        <f t="shared" si="6"/>
        <v>5.128205128205128E-2</v>
      </c>
    </row>
    <row r="58" spans="2:6" ht="29.4" thickBot="1" x14ac:dyDescent="0.35">
      <c r="B58" s="67" t="s">
        <v>117</v>
      </c>
      <c r="C58" s="53" t="s">
        <v>91</v>
      </c>
      <c r="D58" s="54">
        <v>5</v>
      </c>
      <c r="E58" s="55">
        <f>COUNTIF('1. Dataset B'!Q$2:Q$40, "&lt;5.5")-E57-E56-E55-E54-E53</f>
        <v>0</v>
      </c>
      <c r="F58" s="56">
        <f t="shared" si="6"/>
        <v>0</v>
      </c>
    </row>
    <row r="59" spans="2:6" ht="15" thickBot="1" x14ac:dyDescent="0.35">
      <c r="E59" s="1"/>
      <c r="F59" s="1"/>
    </row>
    <row r="60" spans="2:6" x14ac:dyDescent="0.3">
      <c r="B60" s="130" t="s">
        <v>102</v>
      </c>
      <c r="C60" s="131"/>
      <c r="D60" s="131"/>
      <c r="E60" s="131"/>
      <c r="F60" s="132"/>
    </row>
    <row r="61" spans="2:6" ht="15" thickBot="1" x14ac:dyDescent="0.35">
      <c r="B61" s="61" t="s">
        <v>40</v>
      </c>
      <c r="C61" s="62" t="s">
        <v>43</v>
      </c>
      <c r="D61" s="62" t="s">
        <v>41</v>
      </c>
      <c r="E61" s="62" t="s">
        <v>42</v>
      </c>
      <c r="F61" s="63" t="s">
        <v>128</v>
      </c>
    </row>
    <row r="62" spans="2:6" ht="28.8" x14ac:dyDescent="0.3">
      <c r="B62" s="57" t="s">
        <v>111</v>
      </c>
      <c r="C62" s="58"/>
      <c r="D62" s="58">
        <v>0</v>
      </c>
      <c r="E62" s="58">
        <f>COUNTIF('1. Dataset B'!S$2:S$40, "&lt;0.5")</f>
        <v>0</v>
      </c>
      <c r="F62" s="60">
        <f>E62/SUM(E$62:E$66)</f>
        <v>0</v>
      </c>
    </row>
    <row r="63" spans="2:6" ht="28.8" x14ac:dyDescent="0.3">
      <c r="B63" s="50" t="s">
        <v>118</v>
      </c>
      <c r="C63" s="48" t="s">
        <v>85</v>
      </c>
      <c r="D63" s="48">
        <v>1</v>
      </c>
      <c r="E63" s="49">
        <f>COUNTIF('1. Dataset B'!S$2:S$40, "&lt;1.5")-E62</f>
        <v>2</v>
      </c>
      <c r="F63" s="51">
        <f t="shared" ref="F63:F66" si="7">E63/SUM(E$62:E$66)</f>
        <v>5.128205128205128E-2</v>
      </c>
    </row>
    <row r="64" spans="2:6" ht="28.8" x14ac:dyDescent="0.3">
      <c r="B64" s="50" t="s">
        <v>114</v>
      </c>
      <c r="C64" s="48"/>
      <c r="D64" s="48">
        <v>2</v>
      </c>
      <c r="E64" s="49">
        <f>COUNTIF('1. Dataset B'!S$2:S$40, "&lt;2.5")-E63-E62</f>
        <v>31</v>
      </c>
      <c r="F64" s="51">
        <f t="shared" si="7"/>
        <v>0.79487179487179482</v>
      </c>
    </row>
    <row r="65" spans="2:6" ht="28.8" x14ac:dyDescent="0.3">
      <c r="B65" s="50" t="s">
        <v>119</v>
      </c>
      <c r="C65" s="48" t="s">
        <v>86</v>
      </c>
      <c r="D65" s="48">
        <v>3</v>
      </c>
      <c r="E65" s="49">
        <f>COUNTIF('1. Dataset B'!S$2:S$40, "&lt;3.5")-E64-E63-E62</f>
        <v>6</v>
      </c>
      <c r="F65" s="51">
        <f t="shared" si="7"/>
        <v>0.15384615384615385</v>
      </c>
    </row>
    <row r="66" spans="2:6" ht="29.4" thickBot="1" x14ac:dyDescent="0.35">
      <c r="B66" s="52" t="s">
        <v>120</v>
      </c>
      <c r="C66" s="54" t="s">
        <v>87</v>
      </c>
      <c r="D66" s="54">
        <v>4</v>
      </c>
      <c r="E66" s="55">
        <f>COUNTIF('1. Dataset B'!S$2:S$40, "&lt;4.5")-E65-E64-E63-E62</f>
        <v>0</v>
      </c>
      <c r="F66" s="56">
        <f t="shared" si="7"/>
        <v>0</v>
      </c>
    </row>
    <row r="67" spans="2:6" x14ac:dyDescent="0.3">
      <c r="E67" s="1"/>
      <c r="F67" s="1"/>
    </row>
  </sheetData>
  <mergeCells count="8">
    <mergeCell ref="B51:F51"/>
    <mergeCell ref="B60:F60"/>
    <mergeCell ref="B2:F2"/>
    <mergeCell ref="B10:F10"/>
    <mergeCell ref="B19:F19"/>
    <mergeCell ref="B26:F26"/>
    <mergeCell ref="B33:F33"/>
    <mergeCell ref="B42:F42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24506-832C-4AE0-B31A-D1256067AA18}">
  <dimension ref="A1:K34"/>
  <sheetViews>
    <sheetView workbookViewId="0"/>
  </sheetViews>
  <sheetFormatPr baseColWidth="10" defaultColWidth="0" defaultRowHeight="14.4" zeroHeight="1" x14ac:dyDescent="0.3"/>
  <cols>
    <col min="1" max="1" width="11.5546875" style="70" customWidth="1"/>
    <col min="2" max="2" width="21.88671875" style="70" customWidth="1"/>
    <col min="3" max="11" width="11.5546875" style="70" customWidth="1"/>
    <col min="12" max="16384" width="11.5546875" style="70" hidden="1"/>
  </cols>
  <sheetData>
    <row r="1" spans="2:10" x14ac:dyDescent="0.3"/>
    <row r="2" spans="2:10" ht="15" thickBot="1" x14ac:dyDescent="0.35">
      <c r="B2" s="110" t="s">
        <v>107</v>
      </c>
    </row>
    <row r="3" spans="2:10" ht="15" thickBot="1" x14ac:dyDescent="0.35">
      <c r="B3" s="114"/>
      <c r="C3" s="115" t="s">
        <v>99</v>
      </c>
      <c r="D3" s="115" t="s">
        <v>100</v>
      </c>
      <c r="E3" s="115" t="s">
        <v>101</v>
      </c>
      <c r="F3" s="115" t="s">
        <v>102</v>
      </c>
      <c r="G3" s="115" t="s">
        <v>103</v>
      </c>
      <c r="H3" s="115" t="s">
        <v>104</v>
      </c>
      <c r="I3" s="115" t="s">
        <v>105</v>
      </c>
      <c r="J3" s="116" t="s">
        <v>106</v>
      </c>
    </row>
    <row r="4" spans="2:10" x14ac:dyDescent="0.3">
      <c r="B4" s="113" t="s">
        <v>99</v>
      </c>
      <c r="C4" s="117">
        <f>CORREL('1. Dataset B'!D$2:D$40,'1. Dataset B'!$D$2:$D$40)</f>
        <v>1.0000000000000002</v>
      </c>
      <c r="D4" s="118"/>
      <c r="E4" s="118"/>
      <c r="F4" s="118"/>
      <c r="G4" s="118"/>
      <c r="H4" s="118"/>
      <c r="I4" s="118"/>
      <c r="J4" s="119"/>
    </row>
    <row r="5" spans="2:10" x14ac:dyDescent="0.3">
      <c r="B5" s="111" t="s">
        <v>100</v>
      </c>
      <c r="C5" s="120">
        <f>CORREL('1. Dataset B'!D$2:D$40,'1. Dataset B'!$J$2:$J$40)</f>
        <v>0.698437334634048</v>
      </c>
      <c r="D5" s="120">
        <f>CORREL('1. Dataset B'!J$2:J$40,'1. Dataset B'!$J$2:$J$40)</f>
        <v>1.0000000000000002</v>
      </c>
      <c r="E5" s="121"/>
      <c r="F5" s="121"/>
      <c r="G5" s="121"/>
      <c r="H5" s="121"/>
      <c r="I5" s="121"/>
      <c r="J5" s="122"/>
    </row>
    <row r="6" spans="2:10" x14ac:dyDescent="0.3">
      <c r="B6" s="111" t="s">
        <v>101</v>
      </c>
      <c r="C6" s="120">
        <f>CORREL('1. Dataset B'!D$2:D$40,'1. Dataset B'!$R$2:$R$40)</f>
        <v>0.23514815079967558</v>
      </c>
      <c r="D6" s="120">
        <f>CORREL('1. Dataset B'!J$2:J$40,'1. Dataset B'!$R$2:$R$40)</f>
        <v>-0.1125630857539478</v>
      </c>
      <c r="E6" s="120">
        <f>CORREL('1. Dataset B'!R$2:R$40,'1. Dataset B'!$R$2:$R$40)</f>
        <v>0.99999999999999978</v>
      </c>
      <c r="F6" s="121"/>
      <c r="G6" s="121"/>
      <c r="H6" s="121"/>
      <c r="I6" s="121"/>
      <c r="J6" s="122"/>
    </row>
    <row r="7" spans="2:10" x14ac:dyDescent="0.3">
      <c r="B7" s="111" t="s">
        <v>102</v>
      </c>
      <c r="C7" s="120">
        <f>CORREL('1. Dataset B'!D$2:D$40,'1. Dataset B'!$T$2:$T$40)</f>
        <v>1.6121787835075244E-2</v>
      </c>
      <c r="D7" s="120">
        <f>CORREL('1. Dataset B'!J$2:J$40,'1. Dataset B'!$T$2:$T$40)</f>
        <v>-0.16874088328718578</v>
      </c>
      <c r="E7" s="120">
        <f>CORREL('1. Dataset B'!R$2:R$40,'1. Dataset B'!$T$2:$T$40)</f>
        <v>0.20311753799168758</v>
      </c>
      <c r="F7" s="120">
        <f>CORREL('1. Dataset B'!T$2:T$40,'1. Dataset B'!$T$2:$T$40)</f>
        <v>1.0000000000000002</v>
      </c>
      <c r="G7" s="121"/>
      <c r="H7" s="121"/>
      <c r="I7" s="121"/>
      <c r="J7" s="122"/>
    </row>
    <row r="8" spans="2:10" x14ac:dyDescent="0.3">
      <c r="B8" s="111" t="s">
        <v>103</v>
      </c>
      <c r="C8" s="120">
        <f>CORREL('1. Dataset B'!D$2:D$40,'1. Dataset B'!$N$2:$N$40)</f>
        <v>5.9560244899358128E-2</v>
      </c>
      <c r="D8" s="120">
        <f>CORREL('1. Dataset B'!J$2:J$40,'1. Dataset B'!$N$2:$N$40)</f>
        <v>-0.31716503235445886</v>
      </c>
      <c r="E8" s="120">
        <f>CORREL('1. Dataset B'!R$2:R$40,'1. Dataset B'!$N$2:$N$40)</f>
        <v>0.3443276229979701</v>
      </c>
      <c r="F8" s="120">
        <f>CORREL('1. Dataset B'!T$2:T$40,'1. Dataset B'!$N$2:$N$40)</f>
        <v>0.3285154979015697</v>
      </c>
      <c r="G8" s="120">
        <f>CORREL('1. Dataset B'!N$2:N$40,'1. Dataset B'!$N$2:$N$40)</f>
        <v>1.0000000000000002</v>
      </c>
      <c r="H8" s="121"/>
      <c r="I8" s="121"/>
      <c r="J8" s="122"/>
    </row>
    <row r="9" spans="2:10" x14ac:dyDescent="0.3">
      <c r="B9" s="111" t="s">
        <v>104</v>
      </c>
      <c r="C9" s="120">
        <f>CORREL('1. Dataset B'!D$2:D$40,'1. Dataset B'!$P$2:$P$40)</f>
        <v>-0.51458771066565612</v>
      </c>
      <c r="D9" s="120">
        <f>CORREL('1. Dataset B'!J$2:J$40,'1. Dataset B'!$P$2:$P$40)</f>
        <v>-0.59069713509793742</v>
      </c>
      <c r="E9" s="120">
        <f>CORREL('1. Dataset B'!R$2:R$40,'1. Dataset B'!$P$2:$P$40)</f>
        <v>0.24082356042054773</v>
      </c>
      <c r="F9" s="120">
        <f>CORREL('1. Dataset B'!T$2:T$40,'1. Dataset B'!$P$2:$P$40)</f>
        <v>8.5627539305768191E-2</v>
      </c>
      <c r="G9" s="120">
        <f>CORREL('1. Dataset B'!N$2:N$40,'1. Dataset B'!$P$2:$P$40)</f>
        <v>0.4479943318575727</v>
      </c>
      <c r="H9" s="120">
        <f>CORREL('1. Dataset B'!P$2:P$40,'1. Dataset B'!$P$2:$P$40)</f>
        <v>1</v>
      </c>
      <c r="I9" s="121"/>
      <c r="J9" s="122"/>
    </row>
    <row r="10" spans="2:10" x14ac:dyDescent="0.3">
      <c r="B10" s="111" t="s">
        <v>105</v>
      </c>
      <c r="C10" s="120">
        <f>CORREL('1. Dataset B'!D$2:D$40,'1. Dataset B'!$F$2:$F$40)</f>
        <v>0.6874423953137303</v>
      </c>
      <c r="D10" s="120">
        <f>CORREL('1. Dataset B'!J$2:J$40,'1. Dataset B'!$F$2:$F$40)</f>
        <v>0.88753829160400843</v>
      </c>
      <c r="E10" s="120">
        <f>CORREL('1. Dataset B'!R$2:R$40,'1. Dataset B'!$F$2:$F$40)</f>
        <v>-0.17916014114963619</v>
      </c>
      <c r="F10" s="120">
        <f>CORREL('1. Dataset B'!T$2:T$40,'1. Dataset B'!$F$2:$F$40)</f>
        <v>-0.13999777789976264</v>
      </c>
      <c r="G10" s="120">
        <f>CORREL('1. Dataset B'!N$2:N$40,'1. Dataset B'!$F$2:$F$40)</f>
        <v>-0.17386754830096762</v>
      </c>
      <c r="H10" s="120">
        <f>CORREL('1. Dataset B'!P$2:P$40,'1. Dataset B'!$F$2:$F$40)</f>
        <v>-0.60282256027437287</v>
      </c>
      <c r="I10" s="120">
        <f>CORREL('1. Dataset B'!F$2:F$40,'1. Dataset B'!$F$2:$F$40)</f>
        <v>1.0000000000000002</v>
      </c>
      <c r="J10" s="122"/>
    </row>
    <row r="11" spans="2:10" ht="15" thickBot="1" x14ac:dyDescent="0.35">
      <c r="B11" s="112" t="s">
        <v>106</v>
      </c>
      <c r="C11" s="123">
        <f>CORREL('1. Dataset B'!D$2:D$40,'1. Dataset B'!$V$2:$V$40)</f>
        <v>0.46288898772044174</v>
      </c>
      <c r="D11" s="123">
        <f>CORREL('1. Dataset B'!J$2:J$40,'1. Dataset B'!$V$2:$V$40)</f>
        <v>0.49539784639273277</v>
      </c>
      <c r="E11" s="123">
        <f>CORREL('1. Dataset B'!R$2:R$40,'1. Dataset B'!$V$2:$V$40)</f>
        <v>1.4800308353073954E-2</v>
      </c>
      <c r="F11" s="123">
        <f>CORREL('1. Dataset B'!T$2:T$40,'1. Dataset B'!$V$2:$V$40)</f>
        <v>0.11692288362056664</v>
      </c>
      <c r="G11" s="123">
        <f>CORREL('1. Dataset B'!N$2:N$40,'1. Dataset B'!$V$2:$V$40)</f>
        <v>-1.3781075638196806E-2</v>
      </c>
      <c r="H11" s="123">
        <f>CORREL('1. Dataset B'!P$2:P$40,'1. Dataset B'!$V$2:$V$40)</f>
        <v>-9.6400043768464824E-2</v>
      </c>
      <c r="I11" s="123">
        <f>CORREL('1. Dataset B'!F$2:F$40,'1. Dataset B'!$V$2:$V$40)</f>
        <v>0.66163985034104211</v>
      </c>
      <c r="J11" s="124">
        <f>CORREL('1. Dataset B'!V$2:V$40,'1. Dataset B'!$V$2:$V$40)</f>
        <v>1</v>
      </c>
    </row>
    <row r="12" spans="2:10" x14ac:dyDescent="0.3"/>
    <row r="13" spans="2:10" ht="15" thickBot="1" x14ac:dyDescent="0.35">
      <c r="B13" s="110" t="s">
        <v>65</v>
      </c>
    </row>
    <row r="14" spans="2:10" ht="15" thickBot="1" x14ac:dyDescent="0.35">
      <c r="B14" s="114"/>
      <c r="C14" s="115" t="s">
        <v>99</v>
      </c>
      <c r="D14" s="115" t="s">
        <v>100</v>
      </c>
      <c r="E14" s="115" t="s">
        <v>101</v>
      </c>
      <c r="F14" s="115" t="s">
        <v>102</v>
      </c>
      <c r="G14" s="115" t="s">
        <v>103</v>
      </c>
      <c r="H14" s="115" t="s">
        <v>104</v>
      </c>
      <c r="I14" s="115" t="s">
        <v>105</v>
      </c>
      <c r="J14" s="116" t="s">
        <v>106</v>
      </c>
    </row>
    <row r="15" spans="2:10" x14ac:dyDescent="0.3">
      <c r="B15" s="113" t="s">
        <v>99</v>
      </c>
      <c r="C15" s="117" t="e">
        <f>C4* SQRT(('1. Dataset B'!$D$53-2) / (1 - C4^2))</f>
        <v>#NUM!</v>
      </c>
      <c r="D15" s="118"/>
      <c r="E15" s="118"/>
      <c r="F15" s="118"/>
      <c r="G15" s="118"/>
      <c r="H15" s="118"/>
      <c r="I15" s="118"/>
      <c r="J15" s="119"/>
    </row>
    <row r="16" spans="2:10" x14ac:dyDescent="0.3">
      <c r="B16" s="111" t="s">
        <v>100</v>
      </c>
      <c r="C16" s="120">
        <f>C5* SQRT(('1. Dataset B'!$D$53-2) / (1 - C5^2))</f>
        <v>5.855515652140741</v>
      </c>
      <c r="D16" s="120" t="e">
        <f>D5* SQRT(('1. Dataset B'!$J$53-2) / (1 - D5^2))</f>
        <v>#NUM!</v>
      </c>
      <c r="E16" s="121"/>
      <c r="F16" s="121"/>
      <c r="G16" s="121"/>
      <c r="H16" s="121"/>
      <c r="I16" s="121"/>
      <c r="J16" s="122"/>
    </row>
    <row r="17" spans="2:10" x14ac:dyDescent="0.3">
      <c r="B17" s="111" t="s">
        <v>101</v>
      </c>
      <c r="C17" s="120">
        <f>C6* SQRT(('1. Dataset B'!$D$53-2) / (1 - C6^2))</f>
        <v>1.4515922185027055</v>
      </c>
      <c r="D17" s="120">
        <f>D6* SQRT(('1. Dataset B'!$J$53-2) / (1 - D6^2))</f>
        <v>-0.67969828245811525</v>
      </c>
      <c r="E17" s="120">
        <f>E6* SQRT(('1. Dataset B'!$R$53-2) / (1 - E6^2))</f>
        <v>284718796.87275457</v>
      </c>
      <c r="F17" s="121"/>
      <c r="G17" s="121"/>
      <c r="H17" s="121"/>
      <c r="I17" s="121"/>
      <c r="J17" s="122"/>
    </row>
    <row r="18" spans="2:10" x14ac:dyDescent="0.3">
      <c r="B18" s="111" t="s">
        <v>102</v>
      </c>
      <c r="C18" s="120">
        <f>C7* SQRT(('1. Dataset B'!$D$53-2) / (1 - C7^2))</f>
        <v>9.6743300201886498E-2</v>
      </c>
      <c r="D18" s="120">
        <f>D7* SQRT(('1. Dataset B'!$J$53-2) / (1 - D7^2))</f>
        <v>-1.027174524546564</v>
      </c>
      <c r="E18" s="120">
        <f>E7* SQRT(('1. Dataset B'!$R$53-2) / (1 - E7^2))</f>
        <v>1.2446507665435411</v>
      </c>
      <c r="F18" s="120" t="e">
        <f>F7* SQRT(('1. Dataset B'!$T$53-2) / (1 - F7^2))</f>
        <v>#NUM!</v>
      </c>
      <c r="G18" s="121"/>
      <c r="H18" s="121"/>
      <c r="I18" s="121"/>
      <c r="J18" s="122"/>
    </row>
    <row r="19" spans="2:10" x14ac:dyDescent="0.3">
      <c r="B19" s="111" t="s">
        <v>103</v>
      </c>
      <c r="C19" s="120">
        <f>C8* SQRT(('1. Dataset B'!$D$53-2) / (1 - C8^2))</f>
        <v>0.35799701692099561</v>
      </c>
      <c r="D19" s="120">
        <f>D8* SQRT(('1. Dataset B'!$J$53-2) / (1 - D8^2))</f>
        <v>-2.0065896950379698</v>
      </c>
      <c r="E19" s="120">
        <f>E8* SQRT(('1. Dataset B'!$R$53-2) / (1 - E8^2))</f>
        <v>2.2005290684500873</v>
      </c>
      <c r="F19" s="120">
        <f>F8* SQRT(('1. Dataset B'!$T$53-2) / (1 - F8^2))</f>
        <v>2.0869200114533002</v>
      </c>
      <c r="G19" s="120" t="e">
        <f>G8* SQRT(('1. Dataset B'!$N$53-2) / (1 - G8^2))</f>
        <v>#NUM!</v>
      </c>
      <c r="H19" s="121"/>
      <c r="I19" s="121"/>
      <c r="J19" s="122"/>
    </row>
    <row r="20" spans="2:10" x14ac:dyDescent="0.3">
      <c r="B20" s="111" t="s">
        <v>104</v>
      </c>
      <c r="C20" s="120">
        <f>C9* SQRT(('1. Dataset B'!$D$53-2) / (1 - C9^2))</f>
        <v>-3.6008751409511874</v>
      </c>
      <c r="D20" s="120">
        <f>D9* SQRT(('1. Dataset B'!$J$53-2) / (1 - D9^2))</f>
        <v>-4.3923806859822392</v>
      </c>
      <c r="E20" s="120">
        <f>E9* SQRT(('1. Dataset B'!$R$53-2) / (1 - E9^2))</f>
        <v>1.4887571040112326</v>
      </c>
      <c r="F20" s="120">
        <f>F9* SQRT(('1. Dataset B'!$T$53-2) / (1 - F9^2))</f>
        <v>0.51565913965181021</v>
      </c>
      <c r="G20" s="120">
        <f>G9* SQRT(('1. Dataset B'!$N$53-2) / (1 - G9^2))</f>
        <v>3.0065509648918711</v>
      </c>
      <c r="H20" s="120" t="e">
        <f>H9* SQRT(('1. Dataset B'!$P$53-2) / (1 - H9^2))</f>
        <v>#DIV/0!</v>
      </c>
      <c r="I20" s="121"/>
      <c r="J20" s="122"/>
    </row>
    <row r="21" spans="2:10" x14ac:dyDescent="0.3">
      <c r="B21" s="111" t="s">
        <v>105</v>
      </c>
      <c r="C21" s="120">
        <f>C10* SQRT(('1. Dataset B'!$D$53-2) / (1 - C10^2))</f>
        <v>5.6794731321387895</v>
      </c>
      <c r="D21" s="120">
        <f>D10* SQRT(('1. Dataset B'!$J$53-2) / (1 - D10^2))</f>
        <v>11.558144664816071</v>
      </c>
      <c r="E21" s="120">
        <f>E10* SQRT(('1. Dataset B'!$R$53-2) / (1 - E10^2))</f>
        <v>-1.0926398420475287</v>
      </c>
      <c r="F21" s="120">
        <f>F10* SQRT(('1. Dataset B'!$T$53-2) / (1 - F10^2))</f>
        <v>-0.84834128700772582</v>
      </c>
      <c r="G21" s="120">
        <f>G10* SQRT(('1. Dataset B'!$N$53-2) / (1 - G10^2))</f>
        <v>-1.0593400484461022</v>
      </c>
      <c r="H21" s="120">
        <f>H10* SQRT(('1. Dataset B'!$P$53-2) / (1 - H10^2))</f>
        <v>-4.5332089574479344</v>
      </c>
      <c r="I21" s="120" t="e">
        <f>I10* SQRT(('1. Dataset B'!$F$53-2) / (1 - I10^2))</f>
        <v>#NUM!</v>
      </c>
      <c r="J21" s="122"/>
    </row>
    <row r="22" spans="2:10" ht="15" thickBot="1" x14ac:dyDescent="0.35">
      <c r="B22" s="112" t="s">
        <v>106</v>
      </c>
      <c r="C22" s="123">
        <f>C11* SQRT(('1. Dataset B'!$D$53-2) / (1 - C11^2))</f>
        <v>3.1332163604413412</v>
      </c>
      <c r="D22" s="123">
        <f>D11* SQRT(('1. Dataset B'!$J$53-2) / (1 - D11^2))</f>
        <v>3.4217828033695454</v>
      </c>
      <c r="E22" s="123">
        <f>E11* SQRT(('1. Dataset B'!$R$53-2) / (1 - E11^2))</f>
        <v>8.8811577700474237E-2</v>
      </c>
      <c r="F22" s="123">
        <f>F11* SQRT(('1. Dataset B'!$T$53-2) / (1 - F11^2))</f>
        <v>0.70638238081887228</v>
      </c>
      <c r="G22" s="123">
        <f>G11* SQRT(('1. Dataset B'!$N$53-2) / (1 - G11^2))</f>
        <v>-8.269430677262074E-2</v>
      </c>
      <c r="H22" s="123">
        <f>H11* SQRT(('1. Dataset B'!$P$53-2) / (1 - H11^2))</f>
        <v>-0.58110666788349274</v>
      </c>
      <c r="I22" s="123">
        <f>I11* SQRT(('1. Dataset B'!$F$53-2) / (1 - I11^2))</f>
        <v>5.2943768564164309</v>
      </c>
      <c r="J22" s="124" t="e">
        <f>J11* SQRT(('1. Dataset B'!$V$53-2) / (1 - J11^2))</f>
        <v>#DIV/0!</v>
      </c>
    </row>
    <row r="23" spans="2:10" x14ac:dyDescent="0.3"/>
    <row r="24" spans="2:10" ht="15" thickBot="1" x14ac:dyDescent="0.35">
      <c r="B24" s="110" t="s">
        <v>66</v>
      </c>
    </row>
    <row r="25" spans="2:10" ht="15" thickBot="1" x14ac:dyDescent="0.35">
      <c r="B25" s="114"/>
      <c r="C25" s="115" t="s">
        <v>99</v>
      </c>
      <c r="D25" s="115" t="s">
        <v>100</v>
      </c>
      <c r="E25" s="115" t="s">
        <v>101</v>
      </c>
      <c r="F25" s="115" t="s">
        <v>102</v>
      </c>
      <c r="G25" s="115" t="s">
        <v>103</v>
      </c>
      <c r="H25" s="115" t="s">
        <v>104</v>
      </c>
      <c r="I25" s="115" t="s">
        <v>105</v>
      </c>
      <c r="J25" s="116" t="s">
        <v>106</v>
      </c>
    </row>
    <row r="26" spans="2:10" x14ac:dyDescent="0.3">
      <c r="B26" s="113" t="s">
        <v>99</v>
      </c>
      <c r="C26" s="117" t="e">
        <f>_xlfn.T.DIST.2T(ABS(C15), '1. Dataset B'!$D$53-2)</f>
        <v>#NUM!</v>
      </c>
      <c r="D26" s="125"/>
      <c r="E26" s="125"/>
      <c r="F26" s="125"/>
      <c r="G26" s="125"/>
      <c r="H26" s="125"/>
      <c r="I26" s="125"/>
      <c r="J26" s="126"/>
    </row>
    <row r="27" spans="2:10" x14ac:dyDescent="0.3">
      <c r="B27" s="111" t="s">
        <v>100</v>
      </c>
      <c r="C27" s="120">
        <f>_xlfn.T.DIST.2T(ABS(C16), '1. Dataset B'!$D$53-2)</f>
        <v>1.0840051443692892E-6</v>
      </c>
      <c r="D27" s="127" t="e">
        <f>_xlfn.T.DIST.2T(ABS(D16), '1. Dataset B'!$J$53-2)</f>
        <v>#NUM!</v>
      </c>
      <c r="E27" s="128"/>
      <c r="F27" s="128"/>
      <c r="G27" s="128"/>
      <c r="H27" s="128"/>
      <c r="I27" s="128"/>
      <c r="J27" s="129"/>
    </row>
    <row r="28" spans="2:10" x14ac:dyDescent="0.3">
      <c r="B28" s="111" t="s">
        <v>101</v>
      </c>
      <c r="C28" s="120">
        <f>_xlfn.T.DIST.2T(ABS(C17), '1. Dataset B'!$D$53-2)</f>
        <v>0.15527460860858577</v>
      </c>
      <c r="D28" s="120">
        <f>_xlfn.T.DIST.2T(ABS(D17), '1. Dataset B'!$J$53-2)</f>
        <v>0.50104303931382177</v>
      </c>
      <c r="E28" s="120">
        <f>_xlfn.T.DIST.2T(ABS(E17), '1. Dataset B'!$R$53-2)</f>
        <v>5.9598762904978805E-278</v>
      </c>
      <c r="F28" s="128"/>
      <c r="G28" s="128"/>
      <c r="H28" s="128"/>
      <c r="I28" s="128"/>
      <c r="J28" s="129"/>
    </row>
    <row r="29" spans="2:10" x14ac:dyDescent="0.3">
      <c r="B29" s="111" t="s">
        <v>102</v>
      </c>
      <c r="C29" s="120">
        <f>_xlfn.T.DIST.2T(ABS(C18), '1. Dataset B'!$D$53-2)</f>
        <v>0.92346683922697648</v>
      </c>
      <c r="D29" s="120">
        <f>_xlfn.T.DIST.2T(ABS(D18), '1. Dataset B'!$J$53-2)</f>
        <v>0.31119082529856201</v>
      </c>
      <c r="E29" s="120">
        <f>_xlfn.T.DIST.2T(ABS(E18), '1. Dataset B'!$R$53-2)</f>
        <v>0.22130229697368331</v>
      </c>
      <c r="F29" s="127" t="e">
        <f>_xlfn.T.DIST.2T(ABS(F18), '1. Dataset B'!$D$53-2)</f>
        <v>#NUM!</v>
      </c>
      <c r="G29" s="128"/>
      <c r="H29" s="128"/>
      <c r="I29" s="128"/>
      <c r="J29" s="129"/>
    </row>
    <row r="30" spans="2:10" x14ac:dyDescent="0.3">
      <c r="B30" s="111" t="s">
        <v>103</v>
      </c>
      <c r="C30" s="120">
        <f>_xlfn.T.DIST.2T(ABS(C19), '1. Dataset B'!$D$53-2)</f>
        <v>0.72243617806202121</v>
      </c>
      <c r="D30" s="120">
        <f>_xlfn.T.DIST.2T(ABS(D19), '1. Dataset B'!$J$53-2)</f>
        <v>5.2349512699122996E-2</v>
      </c>
      <c r="E30" s="120">
        <f>_xlfn.T.DIST.2T(ABS(E19), '1. Dataset B'!$R$53-2)</f>
        <v>3.4269461379692626E-2</v>
      </c>
      <c r="F30" s="120">
        <f>_xlfn.T.DIST.2T(ABS(F19), '1. Dataset B'!$D$53-2)</f>
        <v>4.4037516048556324E-2</v>
      </c>
      <c r="G30" s="120" t="e">
        <f>_xlfn.T.DIST.2T(ABS(G19), '1. Dataset B'!$N$53-2)</f>
        <v>#NUM!</v>
      </c>
      <c r="H30" s="128"/>
      <c r="I30" s="128"/>
      <c r="J30" s="129"/>
    </row>
    <row r="31" spans="2:10" x14ac:dyDescent="0.3">
      <c r="B31" s="111" t="s">
        <v>104</v>
      </c>
      <c r="C31" s="120">
        <f>_xlfn.T.DIST.2T(ABS(C20), '1. Dataset B'!$D$53-2)</f>
        <v>9.486010637704571E-4</v>
      </c>
      <c r="D31" s="120">
        <f>_xlfn.T.DIST.2T(ABS(D20), '1. Dataset B'!$J$53-2)</f>
        <v>9.4516905781908938E-5</v>
      </c>
      <c r="E31" s="120">
        <f>_xlfn.T.DIST.2T(ABS(E20), '1. Dataset B'!$R$53-2)</f>
        <v>0.14526008047901759</v>
      </c>
      <c r="F31" s="120">
        <f>_xlfn.T.DIST.2T(ABS(F20), '1. Dataset B'!$D$53-2)</f>
        <v>0.60924504610950725</v>
      </c>
      <c r="G31" s="120">
        <f>_xlfn.T.DIST.2T(ABS(G20), '1. Dataset B'!$N$53-2)</f>
        <v>4.7941427246800871E-3</v>
      </c>
      <c r="H31" s="127" t="e">
        <f>_xlfn.T.DIST.2T(ABS(H20), '1. Dataset B'!$P$53-2)</f>
        <v>#DIV/0!</v>
      </c>
      <c r="I31" s="128"/>
      <c r="J31" s="129"/>
    </row>
    <row r="32" spans="2:10" x14ac:dyDescent="0.3">
      <c r="B32" s="111" t="s">
        <v>105</v>
      </c>
      <c r="C32" s="120">
        <f>_xlfn.T.DIST.2T(ABS(C21), '1. Dataset B'!$D$53-2)</f>
        <v>1.8639201792649435E-6</v>
      </c>
      <c r="D32" s="120">
        <f>_xlfn.T.DIST.2T(ABS(D21), '1. Dataset B'!$J$53-2)</f>
        <v>1.131785615812062E-13</v>
      </c>
      <c r="E32" s="120">
        <f>_xlfn.T.DIST.2T(ABS(E21), '1. Dataset B'!$R$53-2)</f>
        <v>0.28181013517707088</v>
      </c>
      <c r="F32" s="120">
        <f>_xlfn.T.DIST.2T(ABS(F21), '1. Dataset B'!$D$53-2)</f>
        <v>0.40185358363283052</v>
      </c>
      <c r="G32" s="120">
        <f>_xlfn.T.DIST.2T(ABS(G21), '1. Dataset B'!$N$53-2)</f>
        <v>0.29650114400247168</v>
      </c>
      <c r="H32" s="120">
        <f>_xlfn.T.DIST.2T(ABS(H21), '1. Dataset B'!$P$53-2)</f>
        <v>6.1950349806060991E-5</v>
      </c>
      <c r="I32" s="120" t="e">
        <f>_xlfn.T.DIST.2T(ABS(I21), '1. Dataset B'!$F$53-2)</f>
        <v>#NUM!</v>
      </c>
      <c r="J32" s="129"/>
    </row>
    <row r="33" spans="2:10" ht="15" thickBot="1" x14ac:dyDescent="0.35">
      <c r="B33" s="112" t="s">
        <v>106</v>
      </c>
      <c r="C33" s="123">
        <f>_xlfn.T.DIST.2T(ABS(C22), '1. Dataset B'!$D$53-2)</f>
        <v>3.4294295788465544E-3</v>
      </c>
      <c r="D33" s="123">
        <f>_xlfn.T.DIST.2T(ABS(D22), '1. Dataset B'!$J$53-2)</f>
        <v>1.5646964595122433E-3</v>
      </c>
      <c r="E33" s="123">
        <f>_xlfn.T.DIST.2T(ABS(E22), '1. Dataset B'!$R$53-2)</f>
        <v>0.92972389533055311</v>
      </c>
      <c r="F33" s="123">
        <f>_xlfn.T.DIST.2T(ABS(F22), '1. Dataset B'!$D$53-2)</f>
        <v>0.48449732758559116</v>
      </c>
      <c r="G33" s="123">
        <f>_xlfn.T.DIST.2T(ABS(G22), '1. Dataset B'!$N$53-2)</f>
        <v>0.93455271008663932</v>
      </c>
      <c r="H33" s="123">
        <f>_xlfn.T.DIST.2T(ABS(H22), '1. Dataset B'!$P$53-2)</f>
        <v>0.56478931204634619</v>
      </c>
      <c r="I33" s="123">
        <f>_xlfn.T.DIST.2T(ABS(I22), '1. Dataset B'!$F$53-2)</f>
        <v>6.0951448862656514E-6</v>
      </c>
      <c r="J33" s="124" t="e">
        <f>_xlfn.T.DIST.2T(ABS(J22), '1. Dataset B'!$V$53-2)</f>
        <v>#DIV/0!</v>
      </c>
    </row>
    <row r="34" spans="2:10" x14ac:dyDescent="0.3"/>
  </sheetData>
  <conditionalFormatting sqref="C33:J33 C26:C27 C28:E29 C30:G31 C32:I32">
    <cfRule type="cellIs" dxfId="2" priority="3" operator="lessThan">
      <formula>0.05</formula>
    </cfRule>
  </conditionalFormatting>
  <conditionalFormatting sqref="C4:J11">
    <cfRule type="cellIs" dxfId="1" priority="1" operator="lessThan">
      <formula>-0.5</formula>
    </cfRule>
    <cfRule type="cellIs" dxfId="0" priority="2" operator="greaterThan">
      <formula>0.5</formula>
    </cfRule>
  </conditionalFormatting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18526-86A3-44BD-A887-B21D0D82C305}">
  <dimension ref="A1:K51"/>
  <sheetViews>
    <sheetView zoomScale="70" zoomScaleNormal="70" workbookViewId="0"/>
  </sheetViews>
  <sheetFormatPr baseColWidth="10" defaultColWidth="0" defaultRowHeight="14.4" zeroHeight="1" x14ac:dyDescent="0.3"/>
  <cols>
    <col min="1" max="8" width="11.5546875" style="70" customWidth="1"/>
    <col min="9" max="10" width="11.5546875" style="70" hidden="1" customWidth="1"/>
    <col min="11" max="11" width="0" style="70" hidden="1" customWidth="1"/>
    <col min="12" max="16384" width="11.5546875" style="70" hidden="1"/>
  </cols>
  <sheetData>
    <row r="1" spans="11:11" x14ac:dyDescent="0.3"/>
    <row r="2" spans="11:11" x14ac:dyDescent="0.3"/>
    <row r="3" spans="11:11" x14ac:dyDescent="0.3"/>
    <row r="4" spans="11:11" x14ac:dyDescent="0.3"/>
    <row r="5" spans="11:11" x14ac:dyDescent="0.3"/>
    <row r="6" spans="11:11" x14ac:dyDescent="0.3"/>
    <row r="7" spans="11:11" x14ac:dyDescent="0.3"/>
    <row r="8" spans="11:11" x14ac:dyDescent="0.3"/>
    <row r="9" spans="11:11" x14ac:dyDescent="0.3">
      <c r="K9" s="76"/>
    </row>
    <row r="10" spans="11:11" x14ac:dyDescent="0.3"/>
    <row r="11" spans="11:11" x14ac:dyDescent="0.3"/>
    <row r="12" spans="11:11" x14ac:dyDescent="0.3"/>
    <row r="13" spans="11:11" x14ac:dyDescent="0.3"/>
    <row r="14" spans="11:11" x14ac:dyDescent="0.3"/>
    <row r="15" spans="11:11" x14ac:dyDescent="0.3"/>
    <row r="16" spans="11:11" x14ac:dyDescent="0.3"/>
    <row r="17" x14ac:dyDescent="0.3"/>
    <row r="18" x14ac:dyDescent="0.3"/>
    <row r="19" x14ac:dyDescent="0.3"/>
    <row r="20" x14ac:dyDescent="0.3"/>
    <row r="21" x14ac:dyDescent="0.3"/>
    <row r="22" x14ac:dyDescent="0.3"/>
    <row r="23" x14ac:dyDescent="0.3"/>
    <row r="24" x14ac:dyDescent="0.3"/>
    <row r="25" x14ac:dyDescent="0.3"/>
    <row r="26" x14ac:dyDescent="0.3"/>
    <row r="27" x14ac:dyDescent="0.3"/>
    <row r="28" x14ac:dyDescent="0.3"/>
    <row r="29" x14ac:dyDescent="0.3"/>
    <row r="30" x14ac:dyDescent="0.3"/>
    <row r="31" x14ac:dyDescent="0.3"/>
    <row r="32" x14ac:dyDescent="0.3"/>
    <row r="33" x14ac:dyDescent="0.3"/>
    <row r="34" x14ac:dyDescent="0.3"/>
    <row r="35" x14ac:dyDescent="0.3"/>
    <row r="36" x14ac:dyDescent="0.3"/>
    <row r="37" x14ac:dyDescent="0.3"/>
    <row r="38" x14ac:dyDescent="0.3"/>
    <row r="39" x14ac:dyDescent="0.3"/>
    <row r="40" x14ac:dyDescent="0.3"/>
    <row r="41" x14ac:dyDescent="0.3"/>
    <row r="42" x14ac:dyDescent="0.3"/>
    <row r="43" x14ac:dyDescent="0.3"/>
    <row r="44" x14ac:dyDescent="0.3"/>
    <row r="45" x14ac:dyDescent="0.3"/>
    <row r="46" x14ac:dyDescent="0.3"/>
    <row r="47" x14ac:dyDescent="0.3"/>
    <row r="48" x14ac:dyDescent="0.3"/>
    <row r="49" x14ac:dyDescent="0.3"/>
    <row r="50" x14ac:dyDescent="0.3"/>
    <row r="51" x14ac:dyDescent="0.3"/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1. Dataset B</vt:lpstr>
      <vt:lpstr>2. Expert 1</vt:lpstr>
      <vt:lpstr>3. Expert 2</vt:lpstr>
      <vt:lpstr>4. Expert 3</vt:lpstr>
      <vt:lpstr>5. Expert 4</vt:lpstr>
      <vt:lpstr>6. Distributions</vt:lpstr>
      <vt:lpstr>7. Spearman correlation</vt:lpstr>
      <vt:lpstr>8. Regression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Frey, Torsten</dc:creator>
  <cp:lastModifiedBy>Torsten Frey</cp:lastModifiedBy>
  <dcterms:created xsi:type="dcterms:W3CDTF">2024-07-26T14:29:48Z</dcterms:created>
  <dcterms:modified xsi:type="dcterms:W3CDTF">2025-12-19T10:11:47Z</dcterms:modified>
</cp:coreProperties>
</file>